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75" windowHeight="4965" activeTab="0"/>
  </bookViews>
  <sheets>
    <sheet name="Start" sheetId="1" r:id="rId1"/>
    <sheet name="V" sheetId="2" r:id="rId2"/>
    <sheet name="F" sheetId="3" r:id="rId3"/>
    <sheet name="Costs" sheetId="4" r:id="rId4"/>
    <sheet name="Activities" sheetId="5" r:id="rId5"/>
    <sheet name="Summary Info" sheetId="6" r:id="rId6"/>
  </sheets>
  <definedNames>
    <definedName name="_xlnm.Print_Area" localSheetId="4">'Activities'!$A$1:$M$107</definedName>
    <definedName name="_xlnm.Print_Area" localSheetId="3">'Costs'!$A$1:$E$184</definedName>
    <definedName name="_xlnm.Print_Area" localSheetId="2">'F'!$A$1:$T$57</definedName>
    <definedName name="_xlnm.Print_Area" localSheetId="0">'Start'!$A$178:$E$222</definedName>
    <definedName name="_xlnm.Print_Area" localSheetId="1">'V'!$A$1:$T$36</definedName>
    <definedName name="_xlnm.Print_Titles" localSheetId="4">'Activities'!$1:$4</definedName>
    <definedName name="_xlnm.Print_Titles" localSheetId="3">'Costs'!$1:$1</definedName>
  </definedNames>
  <calcPr fullCalcOnLoad="1"/>
</workbook>
</file>

<file path=xl/sharedStrings.xml><?xml version="1.0" encoding="utf-8"?>
<sst xmlns="http://schemas.openxmlformats.org/spreadsheetml/2006/main" count="893" uniqueCount="841">
  <si>
    <t>This sheet describes the steps to using the spreadsheet and asks the user to specify the design</t>
  </si>
  <si>
    <t xml:space="preserve">  and diluent--and an opacity monitor); sheet "Costs" calculates the first costs and annual costs.</t>
  </si>
  <si>
    <t>Best and final meeting (y/n)?</t>
  </si>
  <si>
    <t>y</t>
  </si>
  <si>
    <t>Conduct FAT (y/n)?</t>
  </si>
  <si>
    <t>e</t>
  </si>
  <si>
    <t>Analyzers</t>
  </si>
  <si>
    <t>BEFORE</t>
  </si>
  <si>
    <t>AFTER</t>
  </si>
  <si>
    <t>Monitors</t>
  </si>
  <si>
    <t>4.  Repeat above steps or modify default variables as desired.</t>
  </si>
  <si>
    <t>GMF1</t>
  </si>
  <si>
    <t>OM1</t>
  </si>
  <si>
    <t>MC1</t>
  </si>
  <si>
    <t>P1</t>
  </si>
  <si>
    <t>EM1</t>
  </si>
  <si>
    <t>OP1</t>
  </si>
  <si>
    <t>ACSS</t>
  </si>
  <si>
    <t>GMF2</t>
  </si>
  <si>
    <t>OM2</t>
  </si>
  <si>
    <t>MC2</t>
  </si>
  <si>
    <t>P2</t>
  </si>
  <si>
    <t>EM2</t>
  </si>
  <si>
    <t>OP2</t>
  </si>
  <si>
    <t>BCSS</t>
  </si>
  <si>
    <t>GMF3</t>
  </si>
  <si>
    <t>OM3</t>
  </si>
  <si>
    <t>MC3</t>
  </si>
  <si>
    <t>P3</t>
  </si>
  <si>
    <t>EM3</t>
  </si>
  <si>
    <t>OP3</t>
  </si>
  <si>
    <t>DAS</t>
  </si>
  <si>
    <t>GMF4</t>
  </si>
  <si>
    <t>OM4</t>
  </si>
  <si>
    <t>MC4</t>
  </si>
  <si>
    <t>P4</t>
  </si>
  <si>
    <t>EM4</t>
  </si>
  <si>
    <t>OP4</t>
  </si>
  <si>
    <t>M6</t>
  </si>
  <si>
    <t>GMF5</t>
  </si>
  <si>
    <t>OM5</t>
  </si>
  <si>
    <t>MC5</t>
  </si>
  <si>
    <t>P5</t>
  </si>
  <si>
    <t>EM5</t>
  </si>
  <si>
    <t>OP5</t>
  </si>
  <si>
    <t>V11</t>
  </si>
  <si>
    <t>GMF6</t>
  </si>
  <si>
    <t>OM6</t>
  </si>
  <si>
    <t>MC6</t>
  </si>
  <si>
    <t>EM6</t>
  </si>
  <si>
    <t>OP6</t>
  </si>
  <si>
    <t>V12</t>
  </si>
  <si>
    <t>GMF7</t>
  </si>
  <si>
    <t>OM7</t>
  </si>
  <si>
    <t>MC7</t>
  </si>
  <si>
    <t>EM7</t>
  </si>
  <si>
    <t>OP7</t>
  </si>
  <si>
    <t>V13</t>
  </si>
  <si>
    <t>GMF8</t>
  </si>
  <si>
    <t>MC8</t>
  </si>
  <si>
    <t>EM8</t>
  </si>
  <si>
    <t>OP8</t>
  </si>
  <si>
    <t>V14</t>
  </si>
  <si>
    <t>GMF9</t>
  </si>
  <si>
    <t>MC9</t>
  </si>
  <si>
    <t>EM9</t>
  </si>
  <si>
    <t>OP9</t>
  </si>
  <si>
    <t>V15</t>
  </si>
  <si>
    <t>GMF10</t>
  </si>
  <si>
    <t>MC10</t>
  </si>
  <si>
    <t>EM10</t>
  </si>
  <si>
    <t>OP10</t>
  </si>
  <si>
    <t>V21</t>
  </si>
  <si>
    <t>GMF11</t>
  </si>
  <si>
    <t>MC11</t>
  </si>
  <si>
    <t>EM11</t>
  </si>
  <si>
    <t>OP11</t>
  </si>
  <si>
    <t>V22</t>
  </si>
  <si>
    <t>GMF12</t>
  </si>
  <si>
    <t>MC12</t>
  </si>
  <si>
    <t>EM12</t>
  </si>
  <si>
    <t>OP12</t>
  </si>
  <si>
    <t>V23</t>
  </si>
  <si>
    <t>GMF13</t>
  </si>
  <si>
    <t>MC13</t>
  </si>
  <si>
    <t>EM13</t>
  </si>
  <si>
    <t>OP13</t>
  </si>
  <si>
    <t>V24</t>
  </si>
  <si>
    <t>GMF14</t>
  </si>
  <si>
    <t>MC14</t>
  </si>
  <si>
    <t>EM14</t>
  </si>
  <si>
    <t>OP14</t>
  </si>
  <si>
    <t>V25</t>
  </si>
  <si>
    <t>GMF15</t>
  </si>
  <si>
    <t>MC15</t>
  </si>
  <si>
    <t>EM15</t>
  </si>
  <si>
    <t>OP15</t>
  </si>
  <si>
    <t>V41</t>
  </si>
  <si>
    <t>GMF16</t>
  </si>
  <si>
    <t>MC16</t>
  </si>
  <si>
    <t>OP16</t>
  </si>
  <si>
    <t>V42</t>
  </si>
  <si>
    <t>GMF17</t>
  </si>
  <si>
    <t>MC17</t>
  </si>
  <si>
    <t>OP17</t>
  </si>
  <si>
    <t>V43</t>
  </si>
  <si>
    <t>MC18</t>
  </si>
  <si>
    <t>OP18</t>
  </si>
  <si>
    <t>V44</t>
  </si>
  <si>
    <t>MC19</t>
  </si>
  <si>
    <t>OP19</t>
  </si>
  <si>
    <t>V45</t>
  </si>
  <si>
    <t>GMF20</t>
  </si>
  <si>
    <t>MC20</t>
  </si>
  <si>
    <t>OP20</t>
  </si>
  <si>
    <t>V51</t>
  </si>
  <si>
    <t>MC21</t>
  </si>
  <si>
    <t>OP21</t>
  </si>
  <si>
    <t>V52</t>
  </si>
  <si>
    <t>MC22</t>
  </si>
  <si>
    <t>OP22</t>
  </si>
  <si>
    <t>V53</t>
  </si>
  <si>
    <t>MC23</t>
  </si>
  <si>
    <t>OP23</t>
  </si>
  <si>
    <t>V54</t>
  </si>
  <si>
    <t>OP24</t>
  </si>
  <si>
    <t>V55</t>
  </si>
  <si>
    <t>MC25</t>
  </si>
  <si>
    <t>OP25</t>
  </si>
  <si>
    <t>W10</t>
  </si>
  <si>
    <t>MC26</t>
  </si>
  <si>
    <t>OP26</t>
  </si>
  <si>
    <t>W11</t>
  </si>
  <si>
    <t>OP27</t>
  </si>
  <si>
    <t>W12</t>
  </si>
  <si>
    <t>OP28</t>
  </si>
  <si>
    <t>W13</t>
  </si>
  <si>
    <t>OP29</t>
  </si>
  <si>
    <t>W7</t>
  </si>
  <si>
    <t>OP30</t>
  </si>
  <si>
    <t>W8</t>
  </si>
  <si>
    <t>W9</t>
  </si>
  <si>
    <t>W16</t>
  </si>
  <si>
    <t>W20</t>
  </si>
  <si>
    <t>W18</t>
  </si>
  <si>
    <t>M9</t>
  </si>
  <si>
    <t>M1</t>
  </si>
  <si>
    <t>M4</t>
  </si>
  <si>
    <t>M5</t>
  </si>
  <si>
    <t>FF1P</t>
  </si>
  <si>
    <t>FF1CC</t>
  </si>
  <si>
    <t>FF1PS</t>
  </si>
  <si>
    <t>FF1QA</t>
  </si>
  <si>
    <t>FF1E</t>
  </si>
  <si>
    <t>FF1SF</t>
  </si>
  <si>
    <t>FFOP1</t>
  </si>
  <si>
    <t>FF2P</t>
  </si>
  <si>
    <t>FF2CC</t>
  </si>
  <si>
    <t>FF2PS</t>
  </si>
  <si>
    <t>FF2QA</t>
  </si>
  <si>
    <t>FF2E</t>
  </si>
  <si>
    <t>FF2SF</t>
  </si>
  <si>
    <t>FFOP2</t>
  </si>
  <si>
    <t>FF3P</t>
  </si>
  <si>
    <t>FF3CC</t>
  </si>
  <si>
    <t>FF3PS</t>
  </si>
  <si>
    <t>FF3QA</t>
  </si>
  <si>
    <t>FF3E</t>
  </si>
  <si>
    <t>FF3SF</t>
  </si>
  <si>
    <t>FFOP3</t>
  </si>
  <si>
    <t>FF4P</t>
  </si>
  <si>
    <t>FF4CC</t>
  </si>
  <si>
    <t>FF4PS</t>
  </si>
  <si>
    <t>FF4QA</t>
  </si>
  <si>
    <t>FF4E</t>
  </si>
  <si>
    <t>FF4SF</t>
  </si>
  <si>
    <t>FFOP4</t>
  </si>
  <si>
    <t>FF5P</t>
  </si>
  <si>
    <t>FF5CC</t>
  </si>
  <si>
    <t>FF5PS</t>
  </si>
  <si>
    <t>FF5QA</t>
  </si>
  <si>
    <t>FF5E</t>
  </si>
  <si>
    <t>FF5SF</t>
  </si>
  <si>
    <t>FFOP5</t>
  </si>
  <si>
    <t>FF6P</t>
  </si>
  <si>
    <t>FF6CC</t>
  </si>
  <si>
    <t>FF6QA</t>
  </si>
  <si>
    <t>FF6E</t>
  </si>
  <si>
    <t>FFOP6</t>
  </si>
  <si>
    <t>FF7P</t>
  </si>
  <si>
    <t>FF7CC</t>
  </si>
  <si>
    <t>FF7QA</t>
  </si>
  <si>
    <t>FF7E</t>
  </si>
  <si>
    <t>FFOP7</t>
  </si>
  <si>
    <t>FF8P</t>
  </si>
  <si>
    <t>FF8CC</t>
  </si>
  <si>
    <t>FF8QA</t>
  </si>
  <si>
    <t>FF8E</t>
  </si>
  <si>
    <t>FFOP8</t>
  </si>
  <si>
    <t>FF9P</t>
  </si>
  <si>
    <t>FF9CC</t>
  </si>
  <si>
    <t>FF9PS</t>
  </si>
  <si>
    <t>FF9QA</t>
  </si>
  <si>
    <t>FF9E</t>
  </si>
  <si>
    <t>FFOP9</t>
  </si>
  <si>
    <t>FF10P</t>
  </si>
  <si>
    <t>FF10CC</t>
  </si>
  <si>
    <t>FF10PS</t>
  </si>
  <si>
    <t>FF10QA</t>
  </si>
  <si>
    <t>FF10E</t>
  </si>
  <si>
    <t>FFOP10</t>
  </si>
  <si>
    <t>FF11P</t>
  </si>
  <si>
    <t>FF11CC</t>
  </si>
  <si>
    <t>FF11PS</t>
  </si>
  <si>
    <t>FF11QA</t>
  </si>
  <si>
    <t>FF11E</t>
  </si>
  <si>
    <t>FFOP11</t>
  </si>
  <si>
    <t>FF12P</t>
  </si>
  <si>
    <t>FF12CC</t>
  </si>
  <si>
    <t>FF12PS</t>
  </si>
  <si>
    <t>FF12QA</t>
  </si>
  <si>
    <t>FF12E</t>
  </si>
  <si>
    <t>FFOP12</t>
  </si>
  <si>
    <t>FF13CC</t>
  </si>
  <si>
    <t>FF13PS</t>
  </si>
  <si>
    <t>FF13QA</t>
  </si>
  <si>
    <t>FF13E</t>
  </si>
  <si>
    <t>FFOP13</t>
  </si>
  <si>
    <t>FF14CC</t>
  </si>
  <si>
    <t>FF14PS</t>
  </si>
  <si>
    <t>FF14QA</t>
  </si>
  <si>
    <t>FF14E</t>
  </si>
  <si>
    <t>FFOP14</t>
  </si>
  <si>
    <t>FF15CC</t>
  </si>
  <si>
    <t>FF15PS</t>
  </si>
  <si>
    <t>FF15QA</t>
  </si>
  <si>
    <t>FF15E</t>
  </si>
  <si>
    <t>FFOP15</t>
  </si>
  <si>
    <t>FF16CC</t>
  </si>
  <si>
    <t>FF16E</t>
  </si>
  <si>
    <t>FFOP16</t>
  </si>
  <si>
    <t>FF17CC</t>
  </si>
  <si>
    <t>FF17E</t>
  </si>
  <si>
    <t>FFOP17</t>
  </si>
  <si>
    <t>FF18CC</t>
  </si>
  <si>
    <t>FF18E</t>
  </si>
  <si>
    <t>FFOP18</t>
  </si>
  <si>
    <t>FF19CC</t>
  </si>
  <si>
    <t>FF19E</t>
  </si>
  <si>
    <t>FFOP19</t>
  </si>
  <si>
    <t>FF20CC</t>
  </si>
  <si>
    <t>FF20E</t>
  </si>
  <si>
    <t>FFOP20</t>
  </si>
  <si>
    <t>FF21CC</t>
  </si>
  <si>
    <t>FF21E</t>
  </si>
  <si>
    <t>FFOP21</t>
  </si>
  <si>
    <t>FF22CC</t>
  </si>
  <si>
    <t>FF40E</t>
  </si>
  <si>
    <t>FFOP22</t>
  </si>
  <si>
    <t>FF24CC</t>
  </si>
  <si>
    <t>FF50E</t>
  </si>
  <si>
    <t>FFOP23</t>
  </si>
  <si>
    <t>FFEP1</t>
  </si>
  <si>
    <t>FF60E</t>
  </si>
  <si>
    <t>FFOP24</t>
  </si>
  <si>
    <t>Y19</t>
  </si>
  <si>
    <t>FF70E</t>
  </si>
  <si>
    <t>FFOP25</t>
  </si>
  <si>
    <t>Y18</t>
  </si>
  <si>
    <t>Z18</t>
  </si>
  <si>
    <t>FF80E</t>
  </si>
  <si>
    <t>FFOP26</t>
  </si>
  <si>
    <t>Y17</t>
  </si>
  <si>
    <t>Z17</t>
  </si>
  <si>
    <t>FF81E</t>
  </si>
  <si>
    <t>FFOP27</t>
  </si>
  <si>
    <t>Y16</t>
  </si>
  <si>
    <t>Z16</t>
  </si>
  <si>
    <t>Z16a</t>
  </si>
  <si>
    <t>FFOP28</t>
  </si>
  <si>
    <t>Y15</t>
  </si>
  <si>
    <t>Z15</t>
  </si>
  <si>
    <t>FFOP29</t>
  </si>
  <si>
    <t>FFOP30</t>
  </si>
  <si>
    <t>FFOP31</t>
  </si>
  <si>
    <t>FFOP32</t>
  </si>
  <si>
    <t>FFOP33</t>
  </si>
  <si>
    <t>Y20</t>
  </si>
  <si>
    <t>FFOP34</t>
  </si>
  <si>
    <t>FFOP35</t>
  </si>
  <si>
    <t>FFOP36</t>
  </si>
  <si>
    <t>Q8</t>
  </si>
  <si>
    <t>FFOP37</t>
  </si>
  <si>
    <t>Q9</t>
  </si>
  <si>
    <t>FFOP38</t>
  </si>
  <si>
    <t>Q10</t>
  </si>
  <si>
    <t>FFOP39</t>
  </si>
  <si>
    <t>Q11</t>
  </si>
  <si>
    <t>FFOP40</t>
  </si>
  <si>
    <t>Q12</t>
  </si>
  <si>
    <t>FFOP41</t>
  </si>
  <si>
    <t>Q16</t>
  </si>
  <si>
    <t>FFOP42</t>
  </si>
  <si>
    <t>Q18</t>
  </si>
  <si>
    <t>FFOP43</t>
  </si>
  <si>
    <t>FFOP44</t>
  </si>
  <si>
    <t>F24</t>
  </si>
  <si>
    <t>F25</t>
  </si>
  <si>
    <t>FFOP45</t>
  </si>
  <si>
    <t>FFOP46</t>
  </si>
  <si>
    <t>Q7</t>
  </si>
  <si>
    <t>FFOP47</t>
  </si>
  <si>
    <t>Q13</t>
  </si>
  <si>
    <t>Z13</t>
  </si>
  <si>
    <t>FFOP48</t>
  </si>
  <si>
    <t>FFOP49</t>
  </si>
  <si>
    <t>FFOP50</t>
  </si>
  <si>
    <t>QTOT</t>
  </si>
  <si>
    <t>FFOP51</t>
  </si>
  <si>
    <t>FFOP52</t>
  </si>
  <si>
    <t>NUMBER OF LINES BEFORE CONTROL</t>
  </si>
  <si>
    <t>FFOP53</t>
  </si>
  <si>
    <t>FFOP54</t>
  </si>
  <si>
    <t>FFOP55</t>
  </si>
  <si>
    <t>FFOP56</t>
  </si>
  <si>
    <t>FFOP7A</t>
  </si>
  <si>
    <t>FFOP58</t>
  </si>
  <si>
    <t>FFOP61</t>
  </si>
  <si>
    <t>FFOP62</t>
  </si>
  <si>
    <t>Labor</t>
  </si>
  <si>
    <t>Test</t>
  </si>
  <si>
    <t>ODC</t>
  </si>
  <si>
    <t>Planning</t>
  </si>
  <si>
    <t xml:space="preserve">    Review regulations</t>
  </si>
  <si>
    <t xml:space="preserve">    Resolve questions</t>
  </si>
  <si>
    <t xml:space="preserve">    Review drawing</t>
  </si>
  <si>
    <t xml:space="preserve">    Inspect source</t>
  </si>
  <si>
    <t xml:space="preserve">    Define constraints</t>
  </si>
  <si>
    <t xml:space="preserve">    Write engineering report</t>
  </si>
  <si>
    <t>Select Equipment</t>
  </si>
  <si>
    <t xml:space="preserve">    Decide on approach</t>
  </si>
  <si>
    <t xml:space="preserve">    Write specifications</t>
  </si>
  <si>
    <t xml:space="preserve">    Identify potential bidders</t>
  </si>
  <si>
    <t xml:space="preserve">    Write RFP's</t>
  </si>
  <si>
    <t xml:space="preserve">    Copy and mail RFP's</t>
  </si>
  <si>
    <t xml:space="preserve">    Respond to bidders</t>
  </si>
  <si>
    <t xml:space="preserve">    Management</t>
  </si>
  <si>
    <t>Support Facilities</t>
  </si>
  <si>
    <t xml:space="preserve">    Sampling ports</t>
  </si>
  <si>
    <t xml:space="preserve">    Utilities</t>
  </si>
  <si>
    <t xml:space="preserve">    Platforms and ladders</t>
  </si>
  <si>
    <t>Purchase equipment</t>
  </si>
  <si>
    <t xml:space="preserve">    PM Monitor</t>
  </si>
  <si>
    <t xml:space="preserve">    Flow monitors</t>
  </si>
  <si>
    <t>Install</t>
  </si>
  <si>
    <t xml:space="preserve">    Startup equipment</t>
  </si>
  <si>
    <t>Performance test</t>
  </si>
  <si>
    <t xml:space="preserve">    Select test contractor</t>
  </si>
  <si>
    <t xml:space="preserve">    Pretest meeting</t>
  </si>
  <si>
    <t xml:space="preserve">    Drift tests</t>
  </si>
  <si>
    <t xml:space="preserve">    Write PST test report</t>
  </si>
  <si>
    <t xml:space="preserve">    Review report</t>
  </si>
  <si>
    <t xml:space="preserve">    </t>
  </si>
  <si>
    <t xml:space="preserve">    Review needs</t>
  </si>
  <si>
    <t xml:space="preserve">    Hire consultant</t>
  </si>
  <si>
    <t xml:space="preserve">    On-site meeting</t>
  </si>
  <si>
    <t xml:space="preserve">    Write draft plan</t>
  </si>
  <si>
    <t xml:space="preserve">    Review draft plan</t>
  </si>
  <si>
    <t xml:space="preserve">    Write final plan</t>
  </si>
  <si>
    <t xml:space="preserve">    Get Agency approval</t>
  </si>
  <si>
    <t xml:space="preserve">    Kick-off meeting</t>
  </si>
  <si>
    <t>Total first costs</t>
  </si>
  <si>
    <t>Grand total first costs</t>
  </si>
  <si>
    <t xml:space="preserve">    Daily checks of CEMS</t>
  </si>
  <si>
    <t xml:space="preserve">    Weekly check of CEMS</t>
  </si>
  <si>
    <t xml:space="preserve">    Monthly check of CEMS</t>
  </si>
  <si>
    <t xml:space="preserve">    Pretest preparation</t>
  </si>
  <si>
    <t xml:space="preserve">    Hire testing team</t>
  </si>
  <si>
    <t xml:space="preserve">    Notify Agency</t>
  </si>
  <si>
    <t xml:space="preserve">    Do RATA</t>
  </si>
  <si>
    <t xml:space="preserve">    Take corrective action</t>
  </si>
  <si>
    <t xml:space="preserve">    Retest</t>
  </si>
  <si>
    <t xml:space="preserve">    Write report</t>
  </si>
  <si>
    <t xml:space="preserve">    Certify report and send</t>
  </si>
  <si>
    <t xml:space="preserve">    Notify agency</t>
  </si>
  <si>
    <t xml:space="preserve">    Conduct RCA</t>
  </si>
  <si>
    <t xml:space="preserve">    Recalibration calculations</t>
  </si>
  <si>
    <t xml:space="preserve">    Write test report</t>
  </si>
  <si>
    <t xml:space="preserve">    Certify and send report to agency</t>
  </si>
  <si>
    <t xml:space="preserve">    Write, certify, and send report</t>
  </si>
  <si>
    <t>Recordkeeping and reporting</t>
  </si>
  <si>
    <t xml:space="preserve">    Daily data reduction</t>
  </si>
  <si>
    <t xml:space="preserve">    Monthly reduction and review</t>
  </si>
  <si>
    <t>Annual QA &amp; O&amp;M review and update</t>
  </si>
  <si>
    <t xml:space="preserve">    Meeting with plant technicians</t>
  </si>
  <si>
    <t>Annual costs</t>
  </si>
  <si>
    <t>Total annual costs</t>
  </si>
  <si>
    <t>Summary table</t>
  </si>
  <si>
    <t>First Costs</t>
  </si>
  <si>
    <t>ODCs</t>
  </si>
  <si>
    <t>Total</t>
  </si>
  <si>
    <t xml:space="preserve">    Planning</t>
  </si>
  <si>
    <t xml:space="preserve">    Select Equipment</t>
  </si>
  <si>
    <t xml:space="preserve">    Support Facilities</t>
  </si>
  <si>
    <t xml:space="preserve">    Purchase CEMS Hardware</t>
  </si>
  <si>
    <t xml:space="preserve">    Install and Check CEMS</t>
  </si>
  <si>
    <t xml:space="preserve">    Performance Specification Tests</t>
  </si>
  <si>
    <t xml:space="preserve">    QA/QC Plan</t>
  </si>
  <si>
    <t>Annual Costs</t>
  </si>
  <si>
    <t xml:space="preserve">    Day-to-Day Activities</t>
  </si>
  <si>
    <t xml:space="preserve">    Annual RATA</t>
  </si>
  <si>
    <t xml:space="preserve">    PM Monitor RCA</t>
  </si>
  <si>
    <t xml:space="preserve">    Recordkeeping and Reporting</t>
  </si>
  <si>
    <t xml:space="preserve">    Annual QA &amp; O&amp;M Review and Update</t>
  </si>
  <si>
    <t xml:space="preserve">    Capital Recovery</t>
  </si>
  <si>
    <t xml:space="preserve">    Total w/o capital recovery</t>
  </si>
  <si>
    <t xml:space="preserve">    Total with capital recovery</t>
  </si>
  <si>
    <t>Bag leak detector</t>
  </si>
  <si>
    <t>Qopacity plus Qflow</t>
  </si>
  <si>
    <t>Z20</t>
  </si>
  <si>
    <t>PM (beta)</t>
  </si>
  <si>
    <t>Z21</t>
  </si>
  <si>
    <t>FF7SF</t>
  </si>
  <si>
    <t>- insitu opacity monitors</t>
  </si>
  <si>
    <t>- extractive and insitu PM monitors</t>
  </si>
  <si>
    <t>Q6 (all PM)</t>
  </si>
  <si>
    <t>Q6a (beta)</t>
  </si>
  <si>
    <t>Q6b (ls, insitu)</t>
  </si>
  <si>
    <t>Q6c (ls, ext)</t>
  </si>
  <si>
    <t>Qopacity plus Qflow plus Qpmext</t>
  </si>
  <si>
    <t>FF8SF</t>
  </si>
  <si>
    <t>MC28</t>
  </si>
  <si>
    <t>Z33</t>
  </si>
  <si>
    <t>Y31 gas after control and PM</t>
  </si>
  <si>
    <t>Y21 gas &amp; PM extractives</t>
  </si>
  <si>
    <t>FF16PS</t>
  </si>
  <si>
    <t>MC29</t>
  </si>
  <si>
    <t>MC30</t>
  </si>
  <si>
    <t>MC31</t>
  </si>
  <si>
    <t>Z34</t>
  </si>
  <si>
    <t>Z16b</t>
  </si>
  <si>
    <t>Z40</t>
  </si>
  <si>
    <t>PM Monitor RCA (every 3 years)</t>
  </si>
  <si>
    <t>Cylinder Gas Audits (ACA/SVA for PM)</t>
  </si>
  <si>
    <t>PM Monitor RRA (annually)</t>
  </si>
  <si>
    <t xml:space="preserve">    Conduct RRA</t>
  </si>
  <si>
    <t xml:space="preserve">    Do CGA's and/or ACA/SVA</t>
  </si>
  <si>
    <t xml:space="preserve">    PM Monitor RRA</t>
  </si>
  <si>
    <r>
      <t xml:space="preserve">This spreadsheet calculates costs for </t>
    </r>
    <r>
      <rPr>
        <sz val="10"/>
        <rFont val="Arial"/>
        <family val="0"/>
      </rPr>
      <t>CEMS consisting of any of the following:</t>
    </r>
  </si>
  <si>
    <t>Date updated:</t>
  </si>
  <si>
    <t xml:space="preserve">    Taxes and shipping</t>
  </si>
  <si>
    <t>Default values</t>
  </si>
  <si>
    <t>Y22 opacity and flow</t>
  </si>
  <si>
    <t>Z22</t>
  </si>
  <si>
    <t>n</t>
  </si>
  <si>
    <t xml:space="preserve">    Quarterly check of monitors</t>
  </si>
  <si>
    <t xml:space="preserve">    Analyzer RATA or PM ICT</t>
  </si>
  <si>
    <t>Z19</t>
  </si>
  <si>
    <t>FF8PS</t>
  </si>
  <si>
    <t>GMF18</t>
  </si>
  <si>
    <t>Y19 (gas analyzers and PM)</t>
  </si>
  <si>
    <t>Q15</t>
  </si>
  <si>
    <t>Z100</t>
  </si>
  <si>
    <t>Z101</t>
  </si>
  <si>
    <t>FF10SF</t>
  </si>
  <si>
    <t>FF11SF</t>
  </si>
  <si>
    <t>Number of new platforms needed after control (default zero; max of 3)</t>
  </si>
  <si>
    <t>Number of new platforms needed before control (default zero; max of 3)</t>
  </si>
  <si>
    <t>Hg</t>
  </si>
  <si>
    <t>New or existing facility (n/e)?</t>
  </si>
  <si>
    <t>Z24</t>
  </si>
  <si>
    <t>FF41E</t>
  </si>
  <si>
    <t>FF51E</t>
  </si>
  <si>
    <t>Z25</t>
  </si>
  <si>
    <t xml:space="preserve">    Sampling system(s)</t>
  </si>
  <si>
    <t>PM  SS</t>
  </si>
  <si>
    <t>FF25CC</t>
  </si>
  <si>
    <t>F25 after w/o Hg</t>
  </si>
  <si>
    <t>F24 before w/o Hg</t>
  </si>
  <si>
    <t>Y25</t>
  </si>
  <si>
    <t>MC33</t>
  </si>
  <si>
    <t>MC34</t>
  </si>
  <si>
    <t>OP31</t>
  </si>
  <si>
    <t>OP32</t>
  </si>
  <si>
    <t>Z115</t>
  </si>
  <si>
    <t>Z25a</t>
  </si>
  <si>
    <t>Default and other unit values</t>
  </si>
  <si>
    <t xml:space="preserve">   CEE</t>
  </si>
  <si>
    <t xml:space="preserve">   plant technician</t>
  </si>
  <si>
    <t xml:space="preserve">   consultant</t>
  </si>
  <si>
    <t xml:space="preserve">   test crew (avg)</t>
  </si>
  <si>
    <t>Wage rates, w/o overhead, $/hr</t>
  </si>
  <si>
    <t>Overhead factors (fraction of wage)</t>
  </si>
  <si>
    <t>Operating time per year</t>
  </si>
  <si>
    <t xml:space="preserve">   days</t>
  </si>
  <si>
    <t xml:space="preserve">   weeks</t>
  </si>
  <si>
    <t>Equipment prices, $</t>
  </si>
  <si>
    <t xml:space="preserve">   CO analyzer</t>
  </si>
  <si>
    <t xml:space="preserve">   SO2 analyzer</t>
  </si>
  <si>
    <t xml:space="preserve">   NOX analyzer</t>
  </si>
  <si>
    <t xml:space="preserve">   HCL analyzer</t>
  </si>
  <si>
    <t xml:space="preserve">   CO2 analyzer</t>
  </si>
  <si>
    <t xml:space="preserve">   O2 analyzer</t>
  </si>
  <si>
    <t xml:space="preserve">   THC analyzer</t>
  </si>
  <si>
    <t xml:space="preserve">   opacity monitor</t>
  </si>
  <si>
    <t xml:space="preserve">   flow monitor</t>
  </si>
  <si>
    <t xml:space="preserve">   beta guage PM monitor</t>
  </si>
  <si>
    <t xml:space="preserve">   light scattering PM monitor</t>
  </si>
  <si>
    <t xml:space="preserve">   DAS for baseline CEMS</t>
  </si>
  <si>
    <t>Travel costs for test contractor</t>
  </si>
  <si>
    <t>Is corporate engineer responsible for overseeing selection and installation onsite or offsite (on/off)?</t>
  </si>
  <si>
    <t>off</t>
  </si>
  <si>
    <t>Travel costs for CEE (if located offsite)</t>
  </si>
  <si>
    <t xml:space="preserve">   Travel time, round trip, hr</t>
  </si>
  <si>
    <t xml:space="preserve">   travel expense (gas), $</t>
  </si>
  <si>
    <t xml:space="preserve">   per diem, $/d</t>
  </si>
  <si>
    <t xml:space="preserve">   travel fare, $</t>
  </si>
  <si>
    <t>Travel costs for consultant</t>
  </si>
  <si>
    <t xml:space="preserve">   travel time, round trip, hr</t>
  </si>
  <si>
    <t xml:space="preserve">   test crew</t>
  </si>
  <si>
    <t xml:space="preserve">   sampling system for extractive</t>
  </si>
  <si>
    <t xml:space="preserve">       PM monitor</t>
  </si>
  <si>
    <t>Original</t>
  </si>
  <si>
    <t>values</t>
  </si>
  <si>
    <t>Y21a</t>
  </si>
  <si>
    <t>Z21a</t>
  </si>
  <si>
    <t>vendor per diem</t>
  </si>
  <si>
    <t>vendor air fare</t>
  </si>
  <si>
    <t>vendor rent car</t>
  </si>
  <si>
    <t>crane rental</t>
  </si>
  <si>
    <t>FF7PS</t>
  </si>
  <si>
    <t>vendor startup op/flow</t>
  </si>
  <si>
    <t>vendor startup fee gas/PM</t>
  </si>
  <si>
    <t>FF18PS</t>
  </si>
  <si>
    <t>OM8</t>
  </si>
  <si>
    <t>Z41</t>
  </si>
  <si>
    <t>OP33</t>
  </si>
  <si>
    <t>OP34</t>
  </si>
  <si>
    <t>BL1</t>
  </si>
  <si>
    <t>BL2</t>
  </si>
  <si>
    <t>BL3</t>
  </si>
  <si>
    <t>BL4</t>
  </si>
  <si>
    <t>BL5</t>
  </si>
  <si>
    <t>BL6</t>
  </si>
  <si>
    <t>BL7</t>
  </si>
  <si>
    <t>FF1BL</t>
  </si>
  <si>
    <t>FF2BL</t>
  </si>
  <si>
    <t>FF3BL</t>
  </si>
  <si>
    <t>FF4BL</t>
  </si>
  <si>
    <t>FF5BL</t>
  </si>
  <si>
    <t>FF6BL</t>
  </si>
  <si>
    <t>FF7BL</t>
  </si>
  <si>
    <t>FF8BL</t>
  </si>
  <si>
    <t>FF9BL</t>
  </si>
  <si>
    <t>FF10BL</t>
  </si>
  <si>
    <t>BLD</t>
  </si>
  <si>
    <t>Z7b</t>
  </si>
  <si>
    <t>Z7a</t>
  </si>
  <si>
    <t>Y7b (monitors and BLD)</t>
  </si>
  <si>
    <t>Y66 (gas, monitors, BLD)</t>
  </si>
  <si>
    <t>FF11BL</t>
  </si>
  <si>
    <t>FF12BL</t>
  </si>
  <si>
    <t>FF13BL</t>
  </si>
  <si>
    <t>FF14BL</t>
  </si>
  <si>
    <t>FF15BL</t>
  </si>
  <si>
    <t>FF16BL</t>
  </si>
  <si>
    <t>FF17BL</t>
  </si>
  <si>
    <t>For FAT:</t>
  </si>
  <si>
    <t>FF22E</t>
  </si>
  <si>
    <t>FF19PS</t>
  </si>
  <si>
    <t xml:space="preserve">    Bag leak detection system</t>
  </si>
  <si>
    <t>BLD install per sensor</t>
  </si>
  <si>
    <t>Y67 (gas, PM, opacity)</t>
  </si>
  <si>
    <t>BLD startup fee (w/per</t>
  </si>
  <si>
    <t xml:space="preserve">    diem and travel)</t>
  </si>
  <si>
    <t>FF20PS</t>
  </si>
  <si>
    <t>FF21PS</t>
  </si>
  <si>
    <t>Y68 (gas/PM/op, no diluent)</t>
  </si>
  <si>
    <t>Y69 (gas/PM, no diluent)</t>
  </si>
  <si>
    <t>FF22PS</t>
  </si>
  <si>
    <t>&lt;- always same as K67?  I have only used K67 so far</t>
  </si>
  <si>
    <t>Y71 (everything but BLD)</t>
  </si>
  <si>
    <t>QA/QC plan (O&amp;M plan for BLD)</t>
  </si>
  <si>
    <t>BL8</t>
  </si>
  <si>
    <t xml:space="preserve">    Daily checks of COMS/PM/BLD</t>
  </si>
  <si>
    <t>BL9</t>
  </si>
  <si>
    <t>BL10</t>
  </si>
  <si>
    <t>operating d/yr</t>
  </si>
  <si>
    <t>Annual RATA for gas analyzers</t>
  </si>
  <si>
    <t xml:space="preserve">   months</t>
  </si>
  <si>
    <t>operating wk/yr</t>
  </si>
  <si>
    <t>operating mo/yr</t>
  </si>
  <si>
    <t xml:space="preserve">    Quarterly (semiannual) emissions report</t>
  </si>
  <si>
    <t>Compliance reports per year</t>
  </si>
  <si>
    <t>compliance reports/yr</t>
  </si>
  <si>
    <t xml:space="preserve">    Update QA plan (O&amp;M plan)</t>
  </si>
  <si>
    <t>BLD base system</t>
  </si>
  <si>
    <t>BLD add'l cost per detector</t>
  </si>
  <si>
    <t>Y72 (only BLD)</t>
  </si>
  <si>
    <t>Travel costs for vendor</t>
  </si>
  <si>
    <t xml:space="preserve">   car rental, $/d</t>
  </si>
  <si>
    <t xml:space="preserve">   consultant/vendor</t>
  </si>
  <si>
    <t>BL11</t>
  </si>
  <si>
    <t>Fee for test contractor, vendor,</t>
  </si>
  <si>
    <t xml:space="preserve">    and consultant, percent</t>
  </si>
  <si>
    <t>Note:  model assumes no FAT if CEMS consists only of opacity monitor or BLD system</t>
  </si>
  <si>
    <t xml:space="preserve">   bag leak detection base system</t>
  </si>
  <si>
    <t xml:space="preserve">          for one sensor</t>
  </si>
  <si>
    <t xml:space="preserve">   each additional sensor for BLD</t>
  </si>
  <si>
    <t xml:space="preserve">          system</t>
  </si>
  <si>
    <t>FF0BL</t>
  </si>
  <si>
    <t>Y73 (FF systems)</t>
  </si>
  <si>
    <t>FF-1BL</t>
  </si>
  <si>
    <t>FF-2BL</t>
  </si>
  <si>
    <t>BL12</t>
  </si>
  <si>
    <t>FF13P</t>
  </si>
  <si>
    <t xml:space="preserve">   PM monitor vendors</t>
  </si>
  <si>
    <t xml:space="preserve">   BLD vendors</t>
  </si>
  <si>
    <t>FF14SF</t>
  </si>
  <si>
    <t>FF15SF</t>
  </si>
  <si>
    <t>FF16SF</t>
  </si>
  <si>
    <t>FF17SF</t>
  </si>
  <si>
    <t xml:space="preserve">    Review and evaluate proposals</t>
  </si>
  <si>
    <t>MC24</t>
  </si>
  <si>
    <t>Y65 (PM and opacity)</t>
  </si>
  <si>
    <t>FF17PS</t>
  </si>
  <si>
    <t>MC35</t>
  </si>
  <si>
    <t>FF23E</t>
  </si>
  <si>
    <t>FF90E</t>
  </si>
  <si>
    <t>FF91E</t>
  </si>
  <si>
    <t>MC36</t>
  </si>
  <si>
    <t xml:space="preserve">    Hg CEMS equipment (analyzer, sampling </t>
  </si>
  <si>
    <t>Startup fee by vendor</t>
  </si>
  <si>
    <t xml:space="preserve">    PM monitor</t>
  </si>
  <si>
    <t xml:space="preserve">    opacity monitor</t>
  </si>
  <si>
    <t>FF100E</t>
  </si>
  <si>
    <t xml:space="preserve">    Training</t>
  </si>
  <si>
    <t xml:space="preserve">    any gas analyzer</t>
  </si>
  <si>
    <t>V1</t>
  </si>
  <si>
    <t>V2</t>
  </si>
  <si>
    <t>V3</t>
  </si>
  <si>
    <t>V4</t>
  </si>
  <si>
    <t>V5</t>
  </si>
  <si>
    <t>V6</t>
  </si>
  <si>
    <t xml:space="preserve">         line, data acquisition, software, etc)</t>
  </si>
  <si>
    <t>OM9</t>
  </si>
  <si>
    <t>OM10</t>
  </si>
  <si>
    <t>OM11</t>
  </si>
  <si>
    <t xml:space="preserve">    Install equipment</t>
  </si>
  <si>
    <t>Y74 (non-Hg analyzers)</t>
  </si>
  <si>
    <t>Operation, Maintenance, and Repairs</t>
  </si>
  <si>
    <t>OP35</t>
  </si>
  <si>
    <t>OP36</t>
  </si>
  <si>
    <t xml:space="preserve">    Consumables</t>
  </si>
  <si>
    <t>OP37</t>
  </si>
  <si>
    <t>FFOP59</t>
  </si>
  <si>
    <t>Y7a  (all monitors)</t>
  </si>
  <si>
    <t xml:space="preserve">   Gas pollutant and Hg analyzer vendors</t>
  </si>
  <si>
    <t>MC37</t>
  </si>
  <si>
    <t>Y75 (gas/Hg and PM ext.)</t>
  </si>
  <si>
    <t>FF23PS</t>
  </si>
  <si>
    <t>- bag leak detectors</t>
  </si>
  <si>
    <t xml:space="preserve">    Opacity monitor</t>
  </si>
  <si>
    <t>For existing source, is electricity already available where needed for the CEMS (y/n)?</t>
  </si>
  <si>
    <t>FF6SF</t>
  </si>
  <si>
    <t>For existing source, does the facility already have other CEMS for this stack (y/n)?</t>
  </si>
  <si>
    <t>BL13</t>
  </si>
  <si>
    <t>Crane rental needed to install extractive PM CEMS (y/n)?</t>
  </si>
  <si>
    <t xml:space="preserve">   sampling system for gas analyzers</t>
  </si>
  <si>
    <t xml:space="preserve">       before control</t>
  </si>
  <si>
    <t xml:space="preserve">       after control</t>
  </si>
  <si>
    <t>Z54</t>
  </si>
  <si>
    <t xml:space="preserve">    Monthly check of Beta PM/BLD</t>
  </si>
  <si>
    <t xml:space="preserve">    Weekly checks of Beta PM monitors</t>
  </si>
  <si>
    <t>Z56</t>
  </si>
  <si>
    <t xml:space="preserve">        extractive</t>
  </si>
  <si>
    <t xml:space="preserve">        insitu</t>
  </si>
  <si>
    <t>PM (extractive ls)</t>
  </si>
  <si>
    <t>PM (insitu ls)</t>
  </si>
  <si>
    <t>Summary of Costs</t>
  </si>
  <si>
    <t>Summary of CEMS</t>
  </si>
  <si>
    <t xml:space="preserve">   CO</t>
  </si>
  <si>
    <t xml:space="preserve">   HCl</t>
  </si>
  <si>
    <t xml:space="preserve">   THC</t>
  </si>
  <si>
    <t xml:space="preserve">   OPACITY</t>
  </si>
  <si>
    <t xml:space="preserve">   FLOW</t>
  </si>
  <si>
    <t xml:space="preserve">   PM (beta gauge)</t>
  </si>
  <si>
    <t xml:space="preserve">   PM (light scattering; insitu)</t>
  </si>
  <si>
    <t xml:space="preserve">   PM (light scattering; extractive)</t>
  </si>
  <si>
    <t xml:space="preserve">   Number of fabric filters to be monitored=</t>
  </si>
  <si>
    <t xml:space="preserve">   Number of sensors=</t>
  </si>
  <si>
    <t>3.  Check results on "Costs" sheet, or click on the button below to print a summary of the costs.</t>
  </si>
  <si>
    <t xml:space="preserve">           Subtotal</t>
  </si>
  <si>
    <t xml:space="preserve">            Subtotal</t>
  </si>
  <si>
    <t xml:space="preserve">    Phone support</t>
  </si>
  <si>
    <t xml:space="preserve">    Update equipment inventory and repairs</t>
  </si>
  <si>
    <t>Capital recovery (10 years; 7% interest rate)</t>
  </si>
  <si>
    <t>2.  Answer the following questions regarding the system design by filling in the appropriate entry in column "F"</t>
  </si>
  <si>
    <t>1.  Indicate the number of analyzers/monitors (0 or 1) before and after control.  Use the after control column if there is no control.</t>
  </si>
  <si>
    <t xml:space="preserve">  of the CEMS; sheet "V" contains the default variables; sheet "F" calculates the adjustment factors for </t>
  </si>
  <si>
    <r>
      <t xml:space="preserve">  non "base case" CEMS (base case is 4 gas analyzers after control--specifically, CO, NO</t>
    </r>
    <r>
      <rPr>
        <vertAlign val="subscript"/>
        <sz val="10"/>
        <rFont val="Arial"/>
        <family val="2"/>
      </rPr>
      <t>x</t>
    </r>
    <r>
      <rPr>
        <sz val="10"/>
        <rFont val="Arial"/>
        <family val="0"/>
      </rPr>
      <t>, SO</t>
    </r>
    <r>
      <rPr>
        <vertAlign val="subscript"/>
        <sz val="10"/>
        <rFont val="Arial"/>
        <family val="2"/>
      </rPr>
      <t>2</t>
    </r>
    <r>
      <rPr>
        <sz val="10"/>
        <rFont val="Arial"/>
        <family val="0"/>
      </rPr>
      <t>,</t>
    </r>
  </si>
  <si>
    <r>
      <t xml:space="preserve">   SO</t>
    </r>
    <r>
      <rPr>
        <vertAlign val="subscript"/>
        <sz val="10"/>
        <rFont val="Arial"/>
        <family val="2"/>
      </rPr>
      <t>2</t>
    </r>
  </si>
  <si>
    <r>
      <t xml:space="preserve">   NO</t>
    </r>
    <r>
      <rPr>
        <vertAlign val="subscript"/>
        <sz val="10"/>
        <rFont val="Arial"/>
        <family val="2"/>
      </rPr>
      <t>X</t>
    </r>
  </si>
  <si>
    <r>
      <t xml:space="preserve">   CO</t>
    </r>
    <r>
      <rPr>
        <vertAlign val="subscript"/>
        <sz val="10"/>
        <rFont val="Arial"/>
        <family val="2"/>
      </rPr>
      <t>2</t>
    </r>
  </si>
  <si>
    <r>
      <t xml:space="preserve">   O</t>
    </r>
    <r>
      <rPr>
        <vertAlign val="subscript"/>
        <sz val="10"/>
        <rFont val="Arial"/>
        <family val="2"/>
      </rPr>
      <t>2</t>
    </r>
  </si>
  <si>
    <t>- extractive analyzers for gaseous pollutants, including Hg</t>
  </si>
  <si>
    <t>I.  Planning</t>
  </si>
  <si>
    <t>A.  Review regulations</t>
  </si>
  <si>
    <t>Description of activities</t>
  </si>
  <si>
    <t>B.  Resolve questions</t>
  </si>
  <si>
    <t>C.  Review drawings</t>
  </si>
  <si>
    <t>D.  Inspect source</t>
  </si>
  <si>
    <t>The CEE will determine the applicability of the regulation to the source, review monitoring and reporting requirements stipulated in the regulation, and determine what continuous emission monitoring is needed.</t>
  </si>
  <si>
    <t>F.  Write engineering report</t>
  </si>
  <si>
    <t>The CEE will document findings from the above activities for management and to provide a record trail of the decisions made.</t>
  </si>
  <si>
    <t>II.  Select Equipment</t>
  </si>
  <si>
    <t>A.  Decide on approach</t>
  </si>
  <si>
    <t>CEE</t>
  </si>
  <si>
    <t>gas</t>
  </si>
  <si>
    <t>PM</t>
  </si>
  <si>
    <t>E.  Define specific constraints</t>
  </si>
  <si>
    <t>The CEE will decide which type of monitor or monitoring system will best meet the goals of the monitoring program.  The CEE will need to research and evaluate the advantages and disadvantages of different options and how those advantages and disadvantages apply to the specific source.</t>
  </si>
  <si>
    <t>The CEE begins to deal with the practical application of continuous emission monitoring to the source.  Additional discussions with other plant personnel and possibly with the applicable regulatory agency regarding requirements and options are conducted.  If the CEE is not located onsite, travel to the site (also related to inspecting the source, noted below) is usually also included.</t>
  </si>
  <si>
    <t>B.  Write specification</t>
  </si>
  <si>
    <t>The CEE will write the specification for the CEMS, and a plant technician will review it.  The equipment specification will likely consist of the CEMS technical specifications and sketches and photographs of the monitoring location(s).</t>
  </si>
  <si>
    <t>C.  Identify potential bidders</t>
  </si>
  <si>
    <t>The CEE will investigate, perhaps using the internet, to identify vendors and develop a bidders list.</t>
  </si>
  <si>
    <t>D.  Write RFPs and guarantees</t>
  </si>
  <si>
    <t>The CEE will draft instructions to bidders, bid terms and conditions, payment terms, pricing instructions, warranty, and milestones the vendor is expected to meet.</t>
  </si>
  <si>
    <t>E.  Copy and mail RFPs</t>
  </si>
  <si>
    <t>The CEE will prepare transmittal letters and have the RFP packages prepared for mailing (either by regular mail or e-mail).</t>
  </si>
  <si>
    <t>F.  Respond to bidder's questions</t>
  </si>
  <si>
    <t>The CEE will receive and answer several questions from each of the bidders.</t>
  </si>
  <si>
    <t>G.  Review and evaluate proposals</t>
  </si>
  <si>
    <t>H.  Select winner and negotiate contract</t>
  </si>
  <si>
    <t xml:space="preserve">    Select winner(s) and negotiate contract(s)</t>
  </si>
  <si>
    <t>GMF19</t>
  </si>
  <si>
    <t>Based on evaluation of the proposal and best and final meetings, the CEE will select the winner.  The CEE will also call the winner (and the other bidders).  The CEE may also need to finalize various contractual issues such as payment schedules and cancellation charges.</t>
  </si>
  <si>
    <t>I.  Management during manufacture and installation</t>
  </si>
  <si>
    <t>As the CEMS is being constructed, the CEE and a plant technician would review and approve vendor drawings, contact the vendor during system development, and provide oversight of installation of support facilities and the CEMS.</t>
  </si>
  <si>
    <t>For CEMS consisting of gas analyzers and/or extractive PM monitors, a default option is for the CEE and plant technician to conduct a factory acceptance test at the vendor's facility.</t>
  </si>
  <si>
    <t>VIII.  Operation, maintenance, and repairs</t>
  </si>
  <si>
    <t>H.  Consumables</t>
  </si>
  <si>
    <t>A.  Daily checks of COMS/PM/BLD, hr/d</t>
  </si>
  <si>
    <t>C.  Weekly checks of Beta PM monitors, hr/wk</t>
  </si>
  <si>
    <t>G.  Quarterly check of monitors, hr/quarter</t>
  </si>
  <si>
    <t>BL14</t>
  </si>
  <si>
    <t>VII.  QA/QC plan (O&amp;M plan for BLD)</t>
  </si>
  <si>
    <t>A.  Review needs</t>
  </si>
  <si>
    <t>B.  Hire consultant</t>
  </si>
  <si>
    <t>C.  On-site meeting</t>
  </si>
  <si>
    <t>D.  Write draft plan</t>
  </si>
  <si>
    <t>E.  Review draft plan</t>
  </si>
  <si>
    <t>G.  Get Agency approval</t>
  </si>
  <si>
    <t>H.  Kick-off meeting</t>
  </si>
  <si>
    <t>F.  Write final plan</t>
  </si>
  <si>
    <t>BL15</t>
  </si>
  <si>
    <t>The CEE will define exhaust gas characteristics that will affect the CEMS (e.g., temperature, moisture, velocity, dirtiness), define stack power requirements, and determine if additional electrical power is needed, determine exact sample port locations, and define any other specific constraints that will affect the monitoring program (e.g., safety designation).</t>
  </si>
  <si>
    <r>
      <t>Estimated base-case labor effort for existing sources</t>
    </r>
    <r>
      <rPr>
        <vertAlign val="superscript"/>
        <sz val="10"/>
        <rFont val="Arial"/>
        <family val="2"/>
      </rPr>
      <t>a</t>
    </r>
  </si>
  <si>
    <t>simple</t>
  </si>
  <si>
    <t>complex</t>
  </si>
  <si>
    <t xml:space="preserve">   Plant technician</t>
  </si>
  <si>
    <t xml:space="preserve"> Consultant</t>
  </si>
  <si>
    <t>As a default option, the CEE and 2 plant technicians would hold best and final meetings with two vendors</t>
  </si>
  <si>
    <t>The CEE will review the vendor's proposals to detemine which best meets the intent of the bid specification and which vendor will likely provide the best and most cost-effective CEMS.  Issues for negotiation will also be identified.</t>
  </si>
  <si>
    <t>BL16</t>
  </si>
  <si>
    <t>EM16</t>
  </si>
  <si>
    <t>EM17</t>
  </si>
  <si>
    <t>&gt;5</t>
  </si>
  <si>
    <t>&gt;3</t>
  </si>
  <si>
    <r>
      <t>The CEE will determine what monitoring locations are available and if those locations meet the monitoring location specifications.  Access to possible monitoring locations is also evaluated at this time.</t>
    </r>
    <r>
      <rPr>
        <vertAlign val="superscript"/>
        <sz val="10"/>
        <rFont val="Arial"/>
        <family val="2"/>
      </rPr>
      <t>c</t>
    </r>
  </si>
  <si>
    <r>
      <t>BLD</t>
    </r>
    <r>
      <rPr>
        <vertAlign val="superscript"/>
        <sz val="10"/>
        <rFont val="Arial"/>
        <family val="2"/>
      </rPr>
      <t>b</t>
    </r>
  </si>
  <si>
    <r>
      <t>b</t>
    </r>
    <r>
      <rPr>
        <sz val="10"/>
        <rFont val="Arial"/>
        <family val="0"/>
      </rPr>
      <t>A simple BLD system has only one sensor.  A complex BLD system has multiple sensors.</t>
    </r>
  </si>
  <si>
    <r>
      <t>c</t>
    </r>
    <r>
      <rPr>
        <sz val="10"/>
        <rFont val="Arial"/>
        <family val="0"/>
      </rPr>
      <t>For a complex BLD system, each additional sensor after the first adds 15 minutes.</t>
    </r>
  </si>
  <si>
    <r>
      <t>The CEE and/or a plant technician physically inspect an existing source to verify information from the drawings, determine where sampling lines could run, and identify other issues.</t>
    </r>
    <r>
      <rPr>
        <vertAlign val="superscript"/>
        <sz val="10"/>
        <rFont val="Arial"/>
        <family val="2"/>
      </rPr>
      <t>c</t>
    </r>
  </si>
  <si>
    <t>d</t>
  </si>
  <si>
    <r>
      <t>d</t>
    </r>
    <r>
      <rPr>
        <sz val="10"/>
        <rFont val="Arial"/>
        <family val="0"/>
      </rPr>
      <t>Assume cost of management and plant technician review equals 20 percent of the cost for the CEE to prepare the draft plan.</t>
    </r>
  </si>
  <si>
    <t>&gt;4</t>
  </si>
  <si>
    <t>XIII.  Recordkeeping and Reporting</t>
  </si>
  <si>
    <t>XIV.  Annual QA &amp; O&amp;M review and update</t>
  </si>
  <si>
    <t>A.  Meeting with plant technicians</t>
  </si>
  <si>
    <t>B.  Update QA plan (O&amp;M plan)</t>
  </si>
  <si>
    <t>C.  Update equipment inventory and repairs</t>
  </si>
  <si>
    <t>D.  Telephone support</t>
  </si>
  <si>
    <t>A.  Daily data reduction, hr/d</t>
  </si>
  <si>
    <t>i</t>
  </si>
  <si>
    <t>C.  Quarterly emissions report, hr/quarter</t>
  </si>
  <si>
    <t>C.  Semiannual emissions report, hr/six-months</t>
  </si>
  <si>
    <t xml:space="preserve">   environmentally controlled</t>
  </si>
  <si>
    <t xml:space="preserve">        shelter</t>
  </si>
  <si>
    <t xml:space="preserve">    non-Hg GAS CEM analyzer(s)</t>
  </si>
  <si>
    <t xml:space="preserve">    DAS, including software</t>
  </si>
  <si>
    <t xml:space="preserve">   PLC, input/output modules, </t>
  </si>
  <si>
    <t xml:space="preserve">         communications, touch-</t>
  </si>
  <si>
    <t xml:space="preserve">         screen display, programming</t>
  </si>
  <si>
    <t xml:space="preserve">    PLC</t>
  </si>
  <si>
    <t>PLC</t>
  </si>
  <si>
    <t>FF6PS</t>
  </si>
  <si>
    <t>Factory acceptance test</t>
  </si>
  <si>
    <t xml:space="preserve">    -base gas CEMS (4 pollutants)</t>
  </si>
  <si>
    <t xml:space="preserve">    -PM monitor</t>
  </si>
  <si>
    <t>Training fee, w/o travel expenses</t>
  </si>
  <si>
    <t>training fee (gas analyzers)</t>
  </si>
  <si>
    <t>training fee (PM)</t>
  </si>
  <si>
    <t>Y76 (gas after control, no dil)</t>
  </si>
  <si>
    <t xml:space="preserve">   per day</t>
  </si>
  <si>
    <t xml:space="preserve">   baseline gas analyzers, days</t>
  </si>
  <si>
    <t xml:space="preserve">   PM monitor, days</t>
  </si>
  <si>
    <t>V7</t>
  </si>
  <si>
    <t xml:space="preserve">    Instrument room/shelter</t>
  </si>
  <si>
    <t xml:space="preserve">   mercury system (sampling, Hg</t>
  </si>
  <si>
    <t xml:space="preserve">      analyzer, CO2/O2 analyzer, PLC,</t>
  </si>
  <si>
    <t xml:space="preserve">      data acquisition, etc.)</t>
  </si>
  <si>
    <t xml:space="preserve">   Mercury (and CO2/O2)</t>
  </si>
  <si>
    <t>Y70 (everything but flow/BLD)</t>
  </si>
  <si>
    <r>
      <t>a</t>
    </r>
    <r>
      <rPr>
        <sz val="10"/>
        <rFont val="Arial"/>
        <family val="2"/>
      </rPr>
      <t>Base cases for the purposes of this summary are CEMS that consist of either 4 gas analyzers, 1 PM monitor, or a bag leak detection system (except for some annual activities, where the level of effort for a bag leak detection system is per sensor).  Travel time is not included in these labor hours.  Fractions of an hour (other than 0.05, 0.25, and 0.5) result when the actual baseline scenario used in the model consists of gas analyzers and a PM monitor.</t>
    </r>
  </si>
  <si>
    <r>
      <t>1</t>
    </r>
    <r>
      <rPr>
        <vertAlign val="superscript"/>
        <sz val="10"/>
        <rFont val="Arial"/>
        <family val="2"/>
      </rPr>
      <t>f</t>
    </r>
  </si>
  <si>
    <r>
      <t>e</t>
    </r>
    <r>
      <rPr>
        <sz val="10"/>
        <rFont val="Arial"/>
        <family val="2"/>
      </rPr>
      <t>Add 180 hr for a Hg analyzer.</t>
    </r>
  </si>
  <si>
    <r>
      <t>f</t>
    </r>
    <r>
      <rPr>
        <sz val="10"/>
        <rFont val="Arial"/>
        <family val="2"/>
      </rPr>
      <t>Add 1 hr for each additional sensor.</t>
    </r>
  </si>
  <si>
    <t>B.  Startup equipment</t>
  </si>
  <si>
    <r>
      <t>0.4</t>
    </r>
    <r>
      <rPr>
        <vertAlign val="superscript"/>
        <sz val="10"/>
        <rFont val="Arial"/>
        <family val="2"/>
      </rPr>
      <t>g</t>
    </r>
  </si>
  <si>
    <r>
      <t>g</t>
    </r>
    <r>
      <rPr>
        <sz val="10"/>
        <rFont val="Arial"/>
        <family val="2"/>
      </rPr>
      <t>Labor is for each additional sensor.</t>
    </r>
  </si>
  <si>
    <t>C.  Training</t>
  </si>
  <si>
    <t>V.  Installation (existing source)</t>
  </si>
  <si>
    <t>A.  Install equipment</t>
  </si>
  <si>
    <r>
      <t>96</t>
    </r>
    <r>
      <rPr>
        <vertAlign val="superscript"/>
        <sz val="10"/>
        <rFont val="Arial"/>
        <family val="2"/>
      </rPr>
      <t>h</t>
    </r>
  </si>
  <si>
    <r>
      <t>64</t>
    </r>
    <r>
      <rPr>
        <vertAlign val="superscript"/>
        <sz val="10"/>
        <rFont val="Arial"/>
        <family val="2"/>
      </rPr>
      <t>i</t>
    </r>
  </si>
  <si>
    <r>
      <t>B.  Daily checks of CEMS, hr/d</t>
    </r>
    <r>
      <rPr>
        <vertAlign val="superscript"/>
        <sz val="10"/>
        <rFont val="Arial"/>
        <family val="2"/>
      </rPr>
      <t>j</t>
    </r>
  </si>
  <si>
    <r>
      <t>D.  Weekly check of CEMS, hr/wk</t>
    </r>
    <r>
      <rPr>
        <vertAlign val="superscript"/>
        <sz val="10"/>
        <rFont val="Arial"/>
        <family val="2"/>
      </rPr>
      <t>k</t>
    </r>
  </si>
  <si>
    <r>
      <t>E.  Monthly check of Beta PM/BLD, hr/month</t>
    </r>
    <r>
      <rPr>
        <vertAlign val="superscript"/>
        <sz val="10"/>
        <rFont val="Arial"/>
        <family val="2"/>
      </rPr>
      <t>l</t>
    </r>
  </si>
  <si>
    <r>
      <t>F.  Monthly check of CEMS, hr/month</t>
    </r>
    <r>
      <rPr>
        <vertAlign val="superscript"/>
        <sz val="10"/>
        <rFont val="Arial"/>
        <family val="2"/>
      </rPr>
      <t>m</t>
    </r>
  </si>
  <si>
    <r>
      <t>B.  Monthly reduction and review, hr/month</t>
    </r>
    <r>
      <rPr>
        <vertAlign val="superscript"/>
        <sz val="10"/>
        <rFont val="Arial"/>
        <family val="2"/>
      </rPr>
      <t>n</t>
    </r>
  </si>
  <si>
    <r>
      <t>j</t>
    </r>
    <r>
      <rPr>
        <sz val="10"/>
        <rFont val="Arial"/>
        <family val="0"/>
      </rPr>
      <t>Add 0.5 hr/d for a Hg analyzer, regardless of the number of other gas analyzers.</t>
    </r>
  </si>
  <si>
    <r>
      <t>k</t>
    </r>
    <r>
      <rPr>
        <sz val="10"/>
        <rFont val="Arial"/>
        <family val="0"/>
      </rPr>
      <t>Add 2 hr/wk for a Hg analyzer, regardless of the number of other gas analyzers.</t>
    </r>
  </si>
  <si>
    <r>
      <t>l</t>
    </r>
    <r>
      <rPr>
        <sz val="10"/>
        <rFont val="Arial"/>
        <family val="2"/>
      </rPr>
      <t>Labor for BLD systems is per sensor.</t>
    </r>
  </si>
  <si>
    <r>
      <t>m</t>
    </r>
    <r>
      <rPr>
        <sz val="10"/>
        <rFont val="Arial"/>
        <family val="0"/>
      </rPr>
      <t>Add 8 hr/month for a Hg analyzer, regardless of the number of other gas analyzers.</t>
    </r>
  </si>
  <si>
    <r>
      <t>n</t>
    </r>
    <r>
      <rPr>
        <sz val="10"/>
        <rFont val="Arial"/>
        <family val="2"/>
      </rPr>
      <t>2 hr/quarter for beta gauge PM monitors, and 5 hr/quarter for light scattering PM monitors</t>
    </r>
  </si>
  <si>
    <r>
      <t>h</t>
    </r>
    <r>
      <rPr>
        <sz val="10"/>
        <rFont val="Arial"/>
        <family val="2"/>
      </rPr>
      <t>Based on 3 days for four technicians.</t>
    </r>
  </si>
  <si>
    <r>
      <t>i</t>
    </r>
    <r>
      <rPr>
        <sz val="10"/>
        <rFont val="Arial"/>
        <family val="2"/>
      </rPr>
      <t>Based on 2 days for four technicians.</t>
    </r>
  </si>
  <si>
    <t xml:space="preserve">    Cylinder Gas Audits (ACA/SVA for PM)</t>
  </si>
  <si>
    <r>
      <t>150</t>
    </r>
    <r>
      <rPr>
        <vertAlign val="superscript"/>
        <sz val="10"/>
        <rFont val="Arial"/>
        <family val="2"/>
      </rPr>
      <t>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</si>
</sst>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0.000"/>
    <numFmt numFmtId="168" formatCode="[$-409]dddd\,\ mmmm\ dd\,\ yyyy"/>
    <numFmt numFmtId="169" formatCode="m/d/yy;@"/>
    <numFmt numFmtId="170" formatCode="[$-409]mmm\-yy;@"/>
    <numFmt numFmtId="171" formatCode="#,##0.0"/>
  </numFmts>
  <fonts count="44">
    <font>
      <sz val="10"/>
      <name val="Arial"/>
      <family val="0"/>
    </font>
    <font>
      <b/>
      <sz val="10"/>
      <name val="Arial"/>
      <family val="0"/>
    </font>
    <font>
      <i/>
      <sz val="10"/>
      <name val="Arial"/>
      <family val="0"/>
    </font>
    <font>
      <b/>
      <i/>
      <sz val="10"/>
      <name val="Arial"/>
      <family val="0"/>
    </font>
    <font>
      <u val="single"/>
      <sz val="10"/>
      <name val="Arial"/>
      <family val="2"/>
    </font>
    <font>
      <sz val="10"/>
      <color indexed="10"/>
      <name val="Arial"/>
      <family val="2"/>
    </font>
    <font>
      <u val="single"/>
      <sz val="10"/>
      <color indexed="12"/>
      <name val="Arial"/>
      <family val="0"/>
    </font>
    <font>
      <u val="single"/>
      <sz val="10"/>
      <color indexed="36"/>
      <name val="Arial"/>
      <family val="0"/>
    </font>
    <font>
      <vertAlign val="subscript"/>
      <sz val="10"/>
      <name val="Arial"/>
      <family val="2"/>
    </font>
    <font>
      <vertAlign val="superscript"/>
      <sz val="10"/>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3" fontId="0" fillId="0" borderId="0" xfId="0" applyNumberFormat="1" applyAlignment="1">
      <alignment/>
    </xf>
    <xf numFmtId="0" fontId="4" fillId="0" borderId="0" xfId="0" applyFont="1" applyAlignment="1">
      <alignment/>
    </xf>
    <xf numFmtId="0" fontId="0" fillId="0" borderId="0" xfId="0" applyAlignment="1">
      <alignment horizontal="right"/>
    </xf>
    <xf numFmtId="2" fontId="0" fillId="0" borderId="0" xfId="0" applyNumberFormat="1" applyAlignment="1">
      <alignment/>
    </xf>
    <xf numFmtId="0" fontId="0" fillId="0" borderId="0" xfId="0" applyAlignment="1">
      <alignment horizontal="center"/>
    </xf>
    <xf numFmtId="3" fontId="4" fillId="0" borderId="0" xfId="0" applyNumberFormat="1"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quotePrefix="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14" fontId="0" fillId="0" borderId="0" xfId="0" applyNumberFormat="1" applyAlignment="1">
      <alignment/>
    </xf>
    <xf numFmtId="169" fontId="0" fillId="0" borderId="0" xfId="0" applyNumberFormat="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0" fontId="0" fillId="0" borderId="0" xfId="0" applyAlignment="1">
      <alignment wrapText="1"/>
    </xf>
    <xf numFmtId="0" fontId="0" fillId="0" borderId="0" xfId="0" applyAlignment="1">
      <alignment horizontal="center" vertical="top"/>
    </xf>
    <xf numFmtId="0" fontId="9" fillId="0" borderId="0" xfId="0" applyFont="1" applyAlignment="1">
      <alignment/>
    </xf>
    <xf numFmtId="0" fontId="0" fillId="0" borderId="10" xfId="0" applyBorder="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horizontal="center" vertical="top"/>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vertical="top"/>
    </xf>
    <xf numFmtId="0" fontId="0" fillId="0" borderId="11" xfId="0" applyBorder="1" applyAlignment="1">
      <alignment horizontal="center" vertical="top"/>
    </xf>
    <xf numFmtId="0" fontId="0" fillId="33" borderId="0" xfId="0" applyFill="1" applyBorder="1" applyAlignment="1">
      <alignment horizontal="center" vertical="top"/>
    </xf>
    <xf numFmtId="0" fontId="0" fillId="33" borderId="11" xfId="0" applyFill="1" applyBorder="1" applyAlignment="1">
      <alignment horizontal="center" vertical="top"/>
    </xf>
    <xf numFmtId="0" fontId="0" fillId="0" borderId="0" xfId="0" applyFill="1" applyBorder="1" applyAlignment="1">
      <alignment horizontal="center" vertical="top"/>
    </xf>
    <xf numFmtId="0" fontId="0" fillId="0" borderId="13" xfId="0" applyBorder="1" applyAlignment="1">
      <alignment/>
    </xf>
    <xf numFmtId="0" fontId="0" fillId="0" borderId="0" xfId="0" applyNumberFormat="1" applyAlignment="1">
      <alignment/>
    </xf>
    <xf numFmtId="0" fontId="9" fillId="0" borderId="0" xfId="0" applyFont="1" applyBorder="1" applyAlignment="1">
      <alignment vertical="top" wrapText="1"/>
    </xf>
    <xf numFmtId="0" fontId="0" fillId="0" borderId="0"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Fill="1"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4" xfId="0" applyBorder="1" applyAlignment="1">
      <alignment horizontal="center" vertical="top"/>
    </xf>
    <xf numFmtId="0" fontId="0" fillId="33" borderId="14" xfId="0" applyFill="1" applyBorder="1" applyAlignment="1">
      <alignment horizontal="center"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vertical="top"/>
    </xf>
    <xf numFmtId="0" fontId="0" fillId="0" borderId="11" xfId="0" applyFill="1" applyBorder="1" applyAlignment="1">
      <alignment horizontal="center" vertical="top"/>
    </xf>
    <xf numFmtId="0" fontId="0" fillId="0" borderId="14" xfId="0" applyFill="1" applyBorder="1" applyAlignment="1">
      <alignment horizontal="center" vertical="top"/>
    </xf>
    <xf numFmtId="171" fontId="0" fillId="0" borderId="0" xfId="0" applyNumberFormat="1" applyAlignment="1">
      <alignment/>
    </xf>
    <xf numFmtId="0" fontId="9" fillId="0" borderId="0" xfId="0" applyFont="1" applyBorder="1" applyAlignment="1">
      <alignment vertical="top" wrapText="1"/>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4"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53</xdr:row>
      <xdr:rowOff>0</xdr:rowOff>
    </xdr:from>
    <xdr:to>
      <xdr:col>4</xdr:col>
      <xdr:colOff>457200</xdr:colOff>
      <xdr:row>54</xdr:row>
      <xdr:rowOff>9525</xdr:rowOff>
    </xdr:to>
    <xdr:sp macro="[0]!Macro2">
      <xdr:nvSpPr>
        <xdr:cNvPr id="1" name="Rectangle 2"/>
        <xdr:cNvSpPr>
          <a:spLocks/>
        </xdr:cNvSpPr>
      </xdr:nvSpPr>
      <xdr:spPr>
        <a:xfrm>
          <a:off x="2524125" y="8772525"/>
          <a:ext cx="1676400" cy="171450"/>
        </a:xfrm>
        <a:prstGeom prst="rect">
          <a:avLst/>
        </a:prstGeom>
        <a:solidFill>
          <a:srgbClr val="E3E3E3"/>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to Print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138"/>
  <sheetViews>
    <sheetView tabSelected="1" zoomScalePageLayoutView="0" workbookViewId="0" topLeftCell="A1">
      <selection activeCell="J7" sqref="J7"/>
    </sheetView>
  </sheetViews>
  <sheetFormatPr defaultColWidth="9.140625" defaultRowHeight="12.75"/>
  <cols>
    <col min="1" max="1" width="28.421875" style="0" customWidth="1"/>
    <col min="2" max="3" width="9.28125" style="0" bestFit="1" customWidth="1"/>
    <col min="5" max="5" width="25.421875" style="0" customWidth="1"/>
    <col min="6" max="6" width="4.57421875" style="0" customWidth="1"/>
    <col min="7" max="7" width="4.28125" style="0" customWidth="1"/>
    <col min="10" max="10" width="11.140625" style="0" bestFit="1" customWidth="1"/>
  </cols>
  <sheetData>
    <row r="1" spans="1:10" ht="12.75">
      <c r="A1" t="s">
        <v>448</v>
      </c>
      <c r="H1" t="s">
        <v>449</v>
      </c>
      <c r="J1" s="14">
        <v>39148</v>
      </c>
    </row>
    <row r="2" ht="12.75">
      <c r="B2" s="10" t="s">
        <v>705</v>
      </c>
    </row>
    <row r="3" ht="12.75">
      <c r="B3" s="10" t="s">
        <v>423</v>
      </c>
    </row>
    <row r="4" ht="12.75">
      <c r="B4" s="10" t="s">
        <v>424</v>
      </c>
    </row>
    <row r="5" spans="2:10" ht="12.75">
      <c r="B5" s="10" t="s">
        <v>661</v>
      </c>
      <c r="J5" s="15"/>
    </row>
    <row r="7" ht="12.75">
      <c r="A7" t="s">
        <v>0</v>
      </c>
    </row>
    <row r="8" ht="12.75">
      <c r="A8" t="s">
        <v>699</v>
      </c>
    </row>
    <row r="9" ht="15.75">
      <c r="A9" t="s">
        <v>700</v>
      </c>
    </row>
    <row r="10" ht="12.75">
      <c r="A10" t="s">
        <v>1</v>
      </c>
    </row>
    <row r="12" ht="12.75">
      <c r="A12" t="s">
        <v>698</v>
      </c>
    </row>
    <row r="14" spans="1:4" ht="12.75">
      <c r="A14" s="2" t="s">
        <v>6</v>
      </c>
      <c r="C14" s="3" t="s">
        <v>7</v>
      </c>
      <c r="D14" s="3" t="s">
        <v>8</v>
      </c>
    </row>
    <row r="15" spans="1:4" ht="12.75">
      <c r="A15" t="s">
        <v>681</v>
      </c>
      <c r="C15" s="16">
        <v>0</v>
      </c>
      <c r="D15" s="16">
        <v>0</v>
      </c>
    </row>
    <row r="16" spans="1:4" ht="15.75">
      <c r="A16" t="s">
        <v>701</v>
      </c>
      <c r="C16" s="16">
        <v>0</v>
      </c>
      <c r="D16" s="16">
        <v>0</v>
      </c>
    </row>
    <row r="17" spans="1:4" ht="15.75">
      <c r="A17" t="s">
        <v>702</v>
      </c>
      <c r="C17" s="16">
        <v>0</v>
      </c>
      <c r="D17" s="16">
        <v>0</v>
      </c>
    </row>
    <row r="18" spans="1:4" ht="12.75">
      <c r="A18" t="s">
        <v>682</v>
      </c>
      <c r="C18" s="16">
        <v>0</v>
      </c>
      <c r="D18" s="16">
        <v>0</v>
      </c>
    </row>
    <row r="19" spans="1:4" ht="12.75">
      <c r="A19" t="s">
        <v>813</v>
      </c>
      <c r="C19" s="16">
        <v>0</v>
      </c>
      <c r="D19" s="16">
        <v>0</v>
      </c>
    </row>
    <row r="20" spans="1:4" ht="15.75">
      <c r="A20" t="s">
        <v>703</v>
      </c>
      <c r="C20" s="16"/>
      <c r="D20" s="16">
        <v>0</v>
      </c>
    </row>
    <row r="21" spans="1:4" ht="15.75">
      <c r="A21" t="s">
        <v>704</v>
      </c>
      <c r="C21" s="16"/>
      <c r="D21" s="16">
        <v>0</v>
      </c>
    </row>
    <row r="22" spans="1:4" ht="12.75">
      <c r="A22" t="s">
        <v>683</v>
      </c>
      <c r="C22" s="16"/>
      <c r="D22" s="16">
        <v>0</v>
      </c>
    </row>
    <row r="24" ht="12.75">
      <c r="A24" s="2" t="s">
        <v>9</v>
      </c>
    </row>
    <row r="25" spans="1:12" ht="12.75">
      <c r="A25" t="s">
        <v>684</v>
      </c>
      <c r="D25" s="16">
        <v>0</v>
      </c>
      <c r="F25" s="12"/>
      <c r="G25" s="12"/>
      <c r="H25" s="12"/>
      <c r="I25" s="12"/>
      <c r="J25" s="12"/>
      <c r="K25" s="12"/>
      <c r="L25" s="12"/>
    </row>
    <row r="26" spans="1:4" ht="12.75">
      <c r="A26" t="s">
        <v>685</v>
      </c>
      <c r="D26" s="16">
        <v>0</v>
      </c>
    </row>
    <row r="27" spans="1:4" ht="12.75">
      <c r="A27" t="s">
        <v>686</v>
      </c>
      <c r="D27" s="16">
        <v>0</v>
      </c>
    </row>
    <row r="28" spans="1:4" ht="12.75">
      <c r="A28" t="s">
        <v>687</v>
      </c>
      <c r="D28" s="16">
        <v>0</v>
      </c>
    </row>
    <row r="29" spans="1:4" ht="12.75">
      <c r="A29" t="s">
        <v>688</v>
      </c>
      <c r="D29" s="16">
        <v>0</v>
      </c>
    </row>
    <row r="31" ht="12.75">
      <c r="A31" s="11" t="s">
        <v>417</v>
      </c>
    </row>
    <row r="32" spans="1:4" ht="12.75">
      <c r="A32" t="s">
        <v>689</v>
      </c>
      <c r="D32" s="16">
        <v>0</v>
      </c>
    </row>
    <row r="33" spans="1:4" ht="12.75">
      <c r="A33" t="s">
        <v>690</v>
      </c>
      <c r="D33" s="16">
        <v>0</v>
      </c>
    </row>
    <row r="34" ht="12.75">
      <c r="D34" s="16"/>
    </row>
    <row r="35" ht="12.75">
      <c r="A35" t="s">
        <v>697</v>
      </c>
    </row>
    <row r="37" ht="12.75">
      <c r="A37" t="s">
        <v>2</v>
      </c>
    </row>
    <row r="38" spans="1:6" ht="12.75">
      <c r="A38" t="s">
        <v>657</v>
      </c>
      <c r="F38" s="16" t="s">
        <v>3</v>
      </c>
    </row>
    <row r="39" spans="1:6" ht="12.75">
      <c r="A39" t="s">
        <v>616</v>
      </c>
      <c r="F39" s="16" t="s">
        <v>3</v>
      </c>
    </row>
    <row r="40" spans="1:6" ht="12.75">
      <c r="A40" t="s">
        <v>617</v>
      </c>
      <c r="F40" s="16" t="s">
        <v>3</v>
      </c>
    </row>
    <row r="41" spans="1:6" ht="12.75">
      <c r="A41" t="s">
        <v>4</v>
      </c>
      <c r="F41" s="16"/>
    </row>
    <row r="42" spans="1:6" ht="12.75">
      <c r="A42" t="s">
        <v>657</v>
      </c>
      <c r="F42" s="16" t="s">
        <v>3</v>
      </c>
    </row>
    <row r="43" spans="1:7" ht="12.75">
      <c r="A43" t="s">
        <v>616</v>
      </c>
      <c r="F43" s="16" t="s">
        <v>3</v>
      </c>
      <c r="G43" t="s">
        <v>605</v>
      </c>
    </row>
    <row r="44" spans="1:8" ht="12.75">
      <c r="A44" t="s">
        <v>667</v>
      </c>
      <c r="F44" s="16" t="s">
        <v>3</v>
      </c>
      <c r="H44" s="13"/>
    </row>
    <row r="45" spans="1:6" ht="12.75">
      <c r="A45" t="s">
        <v>466</v>
      </c>
      <c r="F45" s="16">
        <v>0</v>
      </c>
    </row>
    <row r="46" spans="1:6" ht="12.75">
      <c r="A46" t="s">
        <v>467</v>
      </c>
      <c r="F46" s="16">
        <v>0</v>
      </c>
    </row>
    <row r="47" spans="1:7" ht="12.75">
      <c r="A47" t="s">
        <v>469</v>
      </c>
      <c r="F47" s="16" t="s">
        <v>5</v>
      </c>
      <c r="G47" s="13"/>
    </row>
    <row r="48" spans="1:6" ht="12.75">
      <c r="A48" t="s">
        <v>665</v>
      </c>
      <c r="F48" s="16" t="s">
        <v>454</v>
      </c>
    </row>
    <row r="49" spans="1:6" ht="12.75">
      <c r="A49" t="s">
        <v>663</v>
      </c>
      <c r="F49" s="16" t="s">
        <v>454</v>
      </c>
    </row>
    <row r="50" spans="1:6" ht="12.75">
      <c r="A50" t="s">
        <v>510</v>
      </c>
      <c r="F50" s="16" t="s">
        <v>511</v>
      </c>
    </row>
    <row r="51" ht="12.75">
      <c r="F51" s="16"/>
    </row>
    <row r="52" spans="1:3" ht="12.75">
      <c r="A52" t="s">
        <v>691</v>
      </c>
      <c r="C52" s="16"/>
    </row>
    <row r="56" ht="12.75">
      <c r="A56" t="s">
        <v>10</v>
      </c>
    </row>
    <row r="59" ht="12.75">
      <c r="A59" t="s">
        <v>486</v>
      </c>
    </row>
    <row r="60" ht="12.75">
      <c r="K60" t="s">
        <v>522</v>
      </c>
    </row>
    <row r="61" spans="1:11" ht="12.75">
      <c r="A61" t="s">
        <v>491</v>
      </c>
      <c r="K61" t="s">
        <v>523</v>
      </c>
    </row>
    <row r="62" spans="1:11" ht="12.75">
      <c r="A62" t="s">
        <v>487</v>
      </c>
      <c r="B62" s="16">
        <v>30</v>
      </c>
      <c r="K62">
        <v>30</v>
      </c>
    </row>
    <row r="63" spans="1:11" ht="12.75">
      <c r="A63" t="s">
        <v>488</v>
      </c>
      <c r="B63" s="16">
        <v>18</v>
      </c>
      <c r="K63">
        <v>18</v>
      </c>
    </row>
    <row r="64" spans="1:11" ht="12.75">
      <c r="A64" t="s">
        <v>601</v>
      </c>
      <c r="B64" s="16">
        <v>27</v>
      </c>
      <c r="K64">
        <v>27</v>
      </c>
    </row>
    <row r="65" spans="1:11" ht="12.75">
      <c r="A65" t="s">
        <v>490</v>
      </c>
      <c r="B65" s="16">
        <v>21</v>
      </c>
      <c r="K65">
        <v>21</v>
      </c>
    </row>
    <row r="66" spans="1:2" ht="12.75">
      <c r="A66" t="s">
        <v>492</v>
      </c>
      <c r="B66" s="16"/>
    </row>
    <row r="67" spans="1:11" ht="12.75">
      <c r="A67" t="s">
        <v>487</v>
      </c>
      <c r="B67" s="16">
        <v>0.6</v>
      </c>
      <c r="K67">
        <v>0.6</v>
      </c>
    </row>
    <row r="68" spans="1:11" ht="12.75">
      <c r="A68" t="s">
        <v>488</v>
      </c>
      <c r="B68" s="16">
        <v>0.6</v>
      </c>
      <c r="K68">
        <v>0.6</v>
      </c>
    </row>
    <row r="69" spans="1:11" ht="12.75">
      <c r="A69" t="s">
        <v>489</v>
      </c>
      <c r="B69" s="16">
        <v>2</v>
      </c>
      <c r="K69">
        <v>2</v>
      </c>
    </row>
    <row r="70" spans="1:11" ht="12.75">
      <c r="A70" t="s">
        <v>519</v>
      </c>
      <c r="B70" s="16">
        <v>2</v>
      </c>
      <c r="K70">
        <v>2</v>
      </c>
    </row>
    <row r="71" spans="1:2" ht="12.75">
      <c r="A71" t="s">
        <v>493</v>
      </c>
      <c r="B71" s="16"/>
    </row>
    <row r="72" spans="1:11" ht="12.75">
      <c r="A72" t="s">
        <v>494</v>
      </c>
      <c r="B72" s="16">
        <v>320</v>
      </c>
      <c r="K72">
        <v>320</v>
      </c>
    </row>
    <row r="73" spans="1:11" ht="12.75">
      <c r="A73" t="s">
        <v>495</v>
      </c>
      <c r="B73" s="16">
        <v>51</v>
      </c>
      <c r="K73">
        <v>51</v>
      </c>
    </row>
    <row r="74" spans="1:11" ht="12.75">
      <c r="A74" t="s">
        <v>589</v>
      </c>
      <c r="B74" s="16">
        <v>12</v>
      </c>
      <c r="K74">
        <v>12</v>
      </c>
    </row>
    <row r="75" spans="1:2" ht="12.75">
      <c r="A75" t="s">
        <v>496</v>
      </c>
      <c r="B75" s="16"/>
    </row>
    <row r="76" spans="1:11" ht="12.75">
      <c r="A76" t="s">
        <v>497</v>
      </c>
      <c r="B76" s="17">
        <v>8490</v>
      </c>
      <c r="K76">
        <v>8490</v>
      </c>
    </row>
    <row r="77" spans="1:11" ht="12.75">
      <c r="A77" t="s">
        <v>498</v>
      </c>
      <c r="B77" s="17">
        <v>12500</v>
      </c>
      <c r="K77">
        <v>12500</v>
      </c>
    </row>
    <row r="78" spans="1:11" ht="12.75">
      <c r="A78" t="s">
        <v>499</v>
      </c>
      <c r="B78" s="17">
        <v>10440</v>
      </c>
      <c r="K78">
        <v>10440</v>
      </c>
    </row>
    <row r="79" spans="1:11" ht="12.75">
      <c r="A79" t="s">
        <v>500</v>
      </c>
      <c r="B79" s="17">
        <v>12390</v>
      </c>
      <c r="K79">
        <v>12390</v>
      </c>
    </row>
    <row r="80" spans="1:11" ht="12.75">
      <c r="A80" t="s">
        <v>501</v>
      </c>
      <c r="B80" s="17">
        <v>7890</v>
      </c>
      <c r="K80">
        <v>7890</v>
      </c>
    </row>
    <row r="81" spans="1:11" ht="12.75">
      <c r="A81" t="s">
        <v>502</v>
      </c>
      <c r="B81" s="17">
        <v>5860</v>
      </c>
      <c r="K81">
        <v>5860</v>
      </c>
    </row>
    <row r="82" spans="1:11" ht="12.75">
      <c r="A82" t="s">
        <v>503</v>
      </c>
      <c r="B82" s="17">
        <v>10200</v>
      </c>
      <c r="K82">
        <v>10200</v>
      </c>
    </row>
    <row r="83" spans="1:11" ht="12.75">
      <c r="A83" t="s">
        <v>504</v>
      </c>
      <c r="B83" s="17">
        <v>25000</v>
      </c>
      <c r="K83">
        <v>25000</v>
      </c>
    </row>
    <row r="84" spans="1:11" ht="12.75">
      <c r="A84" t="s">
        <v>505</v>
      </c>
      <c r="B84" s="17">
        <v>18000</v>
      </c>
      <c r="K84">
        <v>18000</v>
      </c>
    </row>
    <row r="85" spans="1:11" ht="12.75">
      <c r="A85" t="s">
        <v>506</v>
      </c>
      <c r="B85" s="17">
        <v>56000</v>
      </c>
      <c r="K85">
        <v>56000</v>
      </c>
    </row>
    <row r="86" spans="1:2" ht="12.75">
      <c r="A86" t="s">
        <v>507</v>
      </c>
      <c r="B86" s="17"/>
    </row>
    <row r="87" spans="1:11" ht="12.75">
      <c r="A87" t="s">
        <v>675</v>
      </c>
      <c r="B87" s="17">
        <v>42000</v>
      </c>
      <c r="K87">
        <v>35000</v>
      </c>
    </row>
    <row r="88" spans="1:11" ht="12.75">
      <c r="A88" t="s">
        <v>676</v>
      </c>
      <c r="B88" s="17">
        <v>20000</v>
      </c>
      <c r="K88">
        <v>20000</v>
      </c>
    </row>
    <row r="89" spans="1:11" ht="12.75">
      <c r="A89" t="s">
        <v>810</v>
      </c>
      <c r="B89" s="17">
        <v>90000</v>
      </c>
      <c r="K89">
        <v>90000</v>
      </c>
    </row>
    <row r="90" spans="1:2" ht="12.75">
      <c r="A90" t="s">
        <v>811</v>
      </c>
      <c r="B90" s="17"/>
    </row>
    <row r="91" spans="1:2" ht="12.75">
      <c r="A91" t="s">
        <v>812</v>
      </c>
      <c r="B91" s="17"/>
    </row>
    <row r="92" spans="1:11" ht="12.75">
      <c r="A92" t="s">
        <v>606</v>
      </c>
      <c r="B92" s="17">
        <v>11500</v>
      </c>
      <c r="K92">
        <v>11500</v>
      </c>
    </row>
    <row r="93" spans="1:2" ht="12.75">
      <c r="A93" t="s">
        <v>607</v>
      </c>
      <c r="B93" s="17"/>
    </row>
    <row r="94" spans="1:11" ht="12.75">
      <c r="A94" t="s">
        <v>608</v>
      </c>
      <c r="B94" s="17">
        <v>5700</v>
      </c>
      <c r="K94">
        <v>5700</v>
      </c>
    </row>
    <row r="95" spans="1:2" ht="12.75">
      <c r="A95" t="s">
        <v>609</v>
      </c>
      <c r="B95" s="17"/>
    </row>
    <row r="96" spans="1:11" ht="12.75">
      <c r="A96" t="s">
        <v>792</v>
      </c>
      <c r="B96" s="17">
        <v>8000</v>
      </c>
      <c r="K96">
        <v>8000</v>
      </c>
    </row>
    <row r="97" spans="1:2" ht="12.75">
      <c r="A97" t="s">
        <v>793</v>
      </c>
      <c r="B97" s="17"/>
    </row>
    <row r="98" spans="1:2" ht="12.75">
      <c r="A98" t="s">
        <v>794</v>
      </c>
      <c r="B98" s="17"/>
    </row>
    <row r="99" spans="1:11" ht="12.75">
      <c r="A99" t="s">
        <v>508</v>
      </c>
      <c r="B99" s="17">
        <f>IF(F48="n",35000,4000)</f>
        <v>35000</v>
      </c>
      <c r="K99">
        <v>35000</v>
      </c>
    </row>
    <row r="100" spans="1:2" ht="12.75">
      <c r="A100" t="s">
        <v>668</v>
      </c>
      <c r="B100" s="17"/>
    </row>
    <row r="101" spans="1:11" ht="12.75">
      <c r="A101" t="s">
        <v>669</v>
      </c>
      <c r="B101" s="17">
        <v>20000</v>
      </c>
      <c r="K101">
        <v>20000</v>
      </c>
    </row>
    <row r="102" spans="1:11" ht="12.75">
      <c r="A102" t="s">
        <v>670</v>
      </c>
      <c r="B102" s="17">
        <v>20000</v>
      </c>
      <c r="K102">
        <v>20000</v>
      </c>
    </row>
    <row r="103" spans="1:11" ht="12.75">
      <c r="A103" t="s">
        <v>520</v>
      </c>
      <c r="B103" s="17">
        <v>9000</v>
      </c>
      <c r="K103">
        <v>9000</v>
      </c>
    </row>
    <row r="104" spans="1:2" ht="12.75">
      <c r="A104" t="s">
        <v>521</v>
      </c>
      <c r="B104" s="17"/>
    </row>
    <row r="105" spans="1:11" ht="12.75">
      <c r="A105" t="s">
        <v>788</v>
      </c>
      <c r="B105" s="17">
        <v>28000</v>
      </c>
      <c r="K105">
        <v>28000</v>
      </c>
    </row>
    <row r="106" spans="1:2" ht="12.75">
      <c r="A106" t="s">
        <v>789</v>
      </c>
      <c r="B106" s="17"/>
    </row>
    <row r="107" ht="12.75">
      <c r="A107" t="s">
        <v>798</v>
      </c>
    </row>
    <row r="108" spans="1:11" ht="12.75">
      <c r="A108" t="s">
        <v>799</v>
      </c>
      <c r="B108" s="17">
        <v>2800</v>
      </c>
      <c r="K108">
        <v>2800</v>
      </c>
    </row>
    <row r="109" spans="1:11" ht="12.75">
      <c r="A109" t="s">
        <v>800</v>
      </c>
      <c r="B109" s="17">
        <v>1400</v>
      </c>
      <c r="K109">
        <v>1400</v>
      </c>
    </row>
    <row r="110" spans="1:2" ht="12.75">
      <c r="A110" t="s">
        <v>801</v>
      </c>
      <c r="B110" s="17"/>
    </row>
    <row r="111" spans="1:11" ht="12.75">
      <c r="A111" t="s">
        <v>805</v>
      </c>
      <c r="B111" s="17">
        <v>1400</v>
      </c>
      <c r="K111">
        <v>1400</v>
      </c>
    </row>
    <row r="112" spans="1:11" ht="12.75">
      <c r="A112" t="s">
        <v>806</v>
      </c>
      <c r="B112" s="17">
        <v>3</v>
      </c>
      <c r="K112">
        <v>3</v>
      </c>
    </row>
    <row r="113" spans="1:11" ht="12.75">
      <c r="A113" t="s">
        <v>807</v>
      </c>
      <c r="B113" s="17">
        <v>2</v>
      </c>
      <c r="K113">
        <v>2</v>
      </c>
    </row>
    <row r="114" spans="1:2" ht="12.75">
      <c r="A114" t="s">
        <v>509</v>
      </c>
      <c r="B114" s="17"/>
    </row>
    <row r="115" spans="1:11" ht="12.75">
      <c r="A115" t="s">
        <v>513</v>
      </c>
      <c r="B115" s="17">
        <v>12</v>
      </c>
      <c r="K115">
        <v>12</v>
      </c>
    </row>
    <row r="116" spans="1:11" ht="12.75">
      <c r="A116" t="s">
        <v>514</v>
      </c>
      <c r="B116" s="17">
        <v>50</v>
      </c>
      <c r="K116">
        <v>50</v>
      </c>
    </row>
    <row r="117" spans="1:11" ht="12.75">
      <c r="A117" t="s">
        <v>515</v>
      </c>
      <c r="B117" s="17">
        <v>110</v>
      </c>
      <c r="K117">
        <v>110</v>
      </c>
    </row>
    <row r="118" spans="1:2" ht="12.75">
      <c r="A118" t="s">
        <v>512</v>
      </c>
      <c r="B118" s="17"/>
    </row>
    <row r="119" spans="1:11" ht="12.75">
      <c r="A119" t="s">
        <v>513</v>
      </c>
      <c r="B119" s="17">
        <f>IF(F50="off",6,0)</f>
        <v>6</v>
      </c>
      <c r="K119">
        <f>IF(F50="off",6,0)</f>
        <v>6</v>
      </c>
    </row>
    <row r="120" spans="1:11" ht="12.75">
      <c r="A120" t="s">
        <v>516</v>
      </c>
      <c r="B120" s="17">
        <f>IF(F50="off",200,0)</f>
        <v>200</v>
      </c>
      <c r="K120">
        <f>IF(F50="off",200,0)</f>
        <v>200</v>
      </c>
    </row>
    <row r="121" spans="1:11" ht="12.75">
      <c r="A121" t="s">
        <v>515</v>
      </c>
      <c r="B121" s="17">
        <f>IF(F50="off",100,0)</f>
        <v>100</v>
      </c>
      <c r="K121">
        <f>IF(F50="off",100,0)</f>
        <v>100</v>
      </c>
    </row>
    <row r="122" spans="1:2" ht="12.75">
      <c r="A122" t="s">
        <v>517</v>
      </c>
      <c r="B122" s="17"/>
    </row>
    <row r="123" spans="1:11" ht="12.75">
      <c r="A123" t="s">
        <v>518</v>
      </c>
      <c r="B123" s="17">
        <v>12</v>
      </c>
      <c r="K123">
        <v>12</v>
      </c>
    </row>
    <row r="124" spans="1:11" ht="12.75">
      <c r="A124" t="s">
        <v>516</v>
      </c>
      <c r="B124" s="17">
        <v>600</v>
      </c>
      <c r="K124">
        <v>600</v>
      </c>
    </row>
    <row r="125" spans="1:11" ht="12.75">
      <c r="A125" t="s">
        <v>515</v>
      </c>
      <c r="B125" s="17">
        <v>125</v>
      </c>
      <c r="K125">
        <v>125</v>
      </c>
    </row>
    <row r="126" spans="1:2" ht="12.75">
      <c r="A126" t="s">
        <v>599</v>
      </c>
      <c r="B126" s="17"/>
    </row>
    <row r="127" spans="1:11" ht="12.75">
      <c r="A127" t="s">
        <v>518</v>
      </c>
      <c r="B127" s="17">
        <v>8</v>
      </c>
      <c r="K127">
        <v>8</v>
      </c>
    </row>
    <row r="128" spans="1:11" ht="12.75">
      <c r="A128" t="s">
        <v>600</v>
      </c>
      <c r="B128" s="17">
        <v>100</v>
      </c>
      <c r="K128">
        <v>100</v>
      </c>
    </row>
    <row r="129" spans="1:11" ht="12.75">
      <c r="A129" t="s">
        <v>516</v>
      </c>
      <c r="B129" s="17">
        <v>600</v>
      </c>
      <c r="K129">
        <v>600</v>
      </c>
    </row>
    <row r="130" spans="1:11" ht="12.75">
      <c r="A130" t="s">
        <v>515</v>
      </c>
      <c r="B130" s="17">
        <v>125</v>
      </c>
      <c r="K130">
        <v>125</v>
      </c>
    </row>
    <row r="131" spans="1:11" ht="12.75">
      <c r="A131" t="s">
        <v>603</v>
      </c>
      <c r="B131" s="17">
        <v>15</v>
      </c>
      <c r="K131">
        <v>15</v>
      </c>
    </row>
    <row r="132" spans="1:2" ht="12.75">
      <c r="A132" t="s">
        <v>604</v>
      </c>
      <c r="B132" s="17"/>
    </row>
    <row r="133" spans="1:11" ht="12.75">
      <c r="A133" t="s">
        <v>593</v>
      </c>
      <c r="B133" s="17">
        <v>2</v>
      </c>
      <c r="K133">
        <v>2</v>
      </c>
    </row>
    <row r="134" spans="1:11" ht="12.75">
      <c r="A134" t="s">
        <v>632</v>
      </c>
      <c r="B134" s="17">
        <v>5000</v>
      </c>
      <c r="K134">
        <v>5000</v>
      </c>
    </row>
    <row r="135" spans="1:2" ht="12.75">
      <c r="A135" t="s">
        <v>637</v>
      </c>
      <c r="B135" s="17"/>
    </row>
    <row r="136" spans="1:2" ht="12.75">
      <c r="A136" t="s">
        <v>633</v>
      </c>
      <c r="B136" s="17"/>
    </row>
    <row r="137" spans="1:11" ht="12.75">
      <c r="A137" t="s">
        <v>632</v>
      </c>
      <c r="B137" s="17">
        <v>1000</v>
      </c>
      <c r="K137">
        <v>1000</v>
      </c>
    </row>
    <row r="138" ht="12.75">
      <c r="A138" t="s">
        <v>634</v>
      </c>
    </row>
  </sheetData>
  <sheetProtection password="DE9B" sheet="1" objects="1" scenarios="1"/>
  <printOptions gridLines="1"/>
  <pageMargins left="0.75" right="0.75" top="1" bottom="1" header="0.5" footer="0.5"/>
  <pageSetup fitToHeight="2" horizontalDpi="300" verticalDpi="300" orientation="portrait" scale="74" r:id="rId2"/>
  <headerFooter alignWithMargins="0">
    <oddHeader>&amp;C&amp;A</oddHeader>
    <oddFooter>&amp;CPage &amp;P</oddFooter>
  </headerFooter>
  <rowBreaks count="1" manualBreakCount="1">
    <brk id="57" max="9"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61"/>
  <sheetViews>
    <sheetView zoomScalePageLayoutView="0" workbookViewId="0" topLeftCell="A1">
      <selection activeCell="B15" sqref="B15"/>
    </sheetView>
  </sheetViews>
  <sheetFormatPr defaultColWidth="9.140625" defaultRowHeight="12.75"/>
  <cols>
    <col min="1" max="1" width="7.140625" style="0" customWidth="1"/>
    <col min="2" max="2" width="5.7109375" style="0" customWidth="1"/>
    <col min="3" max="3" width="1.421875" style="0" customWidth="1"/>
    <col min="5" max="5" width="4.7109375" style="0" customWidth="1"/>
    <col min="6" max="6" width="3.421875" style="0" customWidth="1"/>
    <col min="7" max="8" width="5.8515625" style="0" customWidth="1"/>
    <col min="9" max="9" width="2.00390625" style="0" customWidth="1"/>
    <col min="10" max="10" width="3.28125" style="0" customWidth="1"/>
    <col min="11" max="11" width="3.00390625" style="0" customWidth="1"/>
    <col min="12" max="12" width="1.1484375" style="0" customWidth="1"/>
    <col min="13" max="13" width="5.8515625" style="0" customWidth="1"/>
    <col min="14" max="14" width="5.00390625" style="0" customWidth="1"/>
    <col min="15" max="15" width="1.7109375" style="0" customWidth="1"/>
    <col min="16" max="16" width="5.7109375" style="0" customWidth="1"/>
    <col min="17" max="17" width="7.00390625" style="0" customWidth="1"/>
    <col min="18" max="18" width="1.7109375" style="0" customWidth="1"/>
    <col min="19" max="19" width="23.00390625" style="0" bestFit="1" customWidth="1"/>
    <col min="20" max="20" width="6.8515625" style="0" customWidth="1"/>
    <col min="21" max="21" width="2.8515625" style="0" customWidth="1"/>
    <col min="22" max="22" width="5.57421875" style="0" customWidth="1"/>
    <col min="23" max="23" width="5.7109375" style="0" customWidth="1"/>
    <col min="24" max="24" width="3.140625" style="0" customWidth="1"/>
    <col min="25" max="26" width="6.8515625" style="0" customWidth="1"/>
  </cols>
  <sheetData>
    <row r="1" spans="1:26" ht="12.75">
      <c r="A1" t="s">
        <v>11</v>
      </c>
      <c r="B1">
        <v>6</v>
      </c>
      <c r="D1" t="s">
        <v>12</v>
      </c>
      <c r="E1">
        <v>1</v>
      </c>
      <c r="G1" t="s">
        <v>13</v>
      </c>
      <c r="H1">
        <v>10</v>
      </c>
      <c r="J1" t="s">
        <v>14</v>
      </c>
      <c r="K1">
        <f>Start!B119</f>
        <v>6</v>
      </c>
      <c r="M1" t="s">
        <v>15</v>
      </c>
      <c r="P1" t="s">
        <v>16</v>
      </c>
      <c r="Q1">
        <v>0.5</v>
      </c>
      <c r="S1" t="s">
        <v>17</v>
      </c>
      <c r="T1">
        <f>Start!B102</f>
        <v>20000</v>
      </c>
      <c r="V1" t="s">
        <v>538</v>
      </c>
      <c r="W1">
        <v>1</v>
      </c>
      <c r="Y1" t="s">
        <v>638</v>
      </c>
      <c r="Z1">
        <v>8</v>
      </c>
    </row>
    <row r="2" spans="1:25" ht="12.75">
      <c r="A2" t="s">
        <v>18</v>
      </c>
      <c r="B2">
        <v>1</v>
      </c>
      <c r="D2" t="s">
        <v>19</v>
      </c>
      <c r="E2">
        <v>2</v>
      </c>
      <c r="G2" t="s">
        <v>20</v>
      </c>
      <c r="H2">
        <v>1</v>
      </c>
      <c r="J2" t="s">
        <v>21</v>
      </c>
      <c r="M2" t="s">
        <v>22</v>
      </c>
      <c r="N2">
        <v>1</v>
      </c>
      <c r="P2" t="s">
        <v>23</v>
      </c>
      <c r="Q2">
        <v>1</v>
      </c>
      <c r="S2" t="s">
        <v>24</v>
      </c>
      <c r="T2">
        <f>Start!B101</f>
        <v>20000</v>
      </c>
      <c r="V2" t="s">
        <v>539</v>
      </c>
      <c r="W2">
        <v>1</v>
      </c>
      <c r="Y2" t="s">
        <v>639</v>
      </c>
    </row>
    <row r="3" spans="1:26" ht="12.75">
      <c r="A3" t="s">
        <v>25</v>
      </c>
      <c r="B3">
        <v>4</v>
      </c>
      <c r="D3" t="s">
        <v>26</v>
      </c>
      <c r="E3">
        <v>10</v>
      </c>
      <c r="G3" t="s">
        <v>27</v>
      </c>
      <c r="H3">
        <v>8</v>
      </c>
      <c r="J3" t="s">
        <v>28</v>
      </c>
      <c r="M3" t="s">
        <v>29</v>
      </c>
      <c r="N3">
        <v>4</v>
      </c>
      <c r="P3" t="s">
        <v>30</v>
      </c>
      <c r="Q3">
        <v>2</v>
      </c>
      <c r="S3" t="s">
        <v>31</v>
      </c>
      <c r="T3">
        <f>IF(F!B49+F!B50+F!B58=0,0,Start!B99)</f>
        <v>0</v>
      </c>
      <c r="V3" t="s">
        <v>540</v>
      </c>
      <c r="W3">
        <v>4</v>
      </c>
      <c r="Y3" t="s">
        <v>640</v>
      </c>
      <c r="Z3" s="50">
        <f>Start!B113+0.5</f>
        <v>2.5</v>
      </c>
    </row>
    <row r="4" spans="1:26" ht="12.75">
      <c r="A4" t="s">
        <v>32</v>
      </c>
      <c r="B4">
        <v>8</v>
      </c>
      <c r="D4" t="s">
        <v>33</v>
      </c>
      <c r="E4">
        <v>5</v>
      </c>
      <c r="G4" t="s">
        <v>34</v>
      </c>
      <c r="H4">
        <v>2.5</v>
      </c>
      <c r="J4" t="s">
        <v>35</v>
      </c>
      <c r="K4">
        <v>12</v>
      </c>
      <c r="M4" t="s">
        <v>36</v>
      </c>
      <c r="N4">
        <v>12</v>
      </c>
      <c r="P4" t="s">
        <v>37</v>
      </c>
      <c r="Q4">
        <v>25</v>
      </c>
      <c r="S4" t="s">
        <v>38</v>
      </c>
      <c r="T4" s="1">
        <f>Start!B105</f>
        <v>28000</v>
      </c>
      <c r="V4" t="s">
        <v>541</v>
      </c>
      <c r="W4">
        <v>2</v>
      </c>
      <c r="Y4" t="s">
        <v>641</v>
      </c>
      <c r="Z4" s="1">
        <f>Start!B113</f>
        <v>2</v>
      </c>
    </row>
    <row r="5" spans="1:26" ht="12.75">
      <c r="A5" t="s">
        <v>39</v>
      </c>
      <c r="B5">
        <v>16</v>
      </c>
      <c r="D5" t="s">
        <v>40</v>
      </c>
      <c r="E5">
        <v>20</v>
      </c>
      <c r="G5" t="s">
        <v>41</v>
      </c>
      <c r="H5">
        <v>100</v>
      </c>
      <c r="J5" t="s">
        <v>42</v>
      </c>
      <c r="K5">
        <v>12</v>
      </c>
      <c r="M5" t="s">
        <v>43</v>
      </c>
      <c r="N5">
        <v>20</v>
      </c>
      <c r="P5" t="s">
        <v>44</v>
      </c>
      <c r="Q5">
        <v>5</v>
      </c>
      <c r="S5" t="s">
        <v>45</v>
      </c>
      <c r="T5">
        <f>Start!B62</f>
        <v>30</v>
      </c>
      <c r="V5" t="s">
        <v>542</v>
      </c>
      <c r="Y5" t="s">
        <v>642</v>
      </c>
      <c r="Z5" s="50">
        <f>Start!B112+0.5</f>
        <v>3.5</v>
      </c>
    </row>
    <row r="6" spans="1:26" ht="12.75">
      <c r="A6" t="s">
        <v>46</v>
      </c>
      <c r="B6">
        <v>40</v>
      </c>
      <c r="D6" t="s">
        <v>47</v>
      </c>
      <c r="E6">
        <v>16</v>
      </c>
      <c r="G6" t="s">
        <v>48</v>
      </c>
      <c r="H6">
        <v>2</v>
      </c>
      <c r="M6" t="s">
        <v>49</v>
      </c>
      <c r="P6" t="s">
        <v>50</v>
      </c>
      <c r="Q6">
        <v>250</v>
      </c>
      <c r="S6" t="s">
        <v>51</v>
      </c>
      <c r="T6">
        <f>Start!B67</f>
        <v>0.6</v>
      </c>
      <c r="V6" t="s">
        <v>543</v>
      </c>
      <c r="W6">
        <v>20</v>
      </c>
      <c r="Y6" t="s">
        <v>643</v>
      </c>
      <c r="Z6" s="1">
        <f>Start!B112</f>
        <v>3</v>
      </c>
    </row>
    <row r="7" spans="1:26" ht="12.75">
      <c r="A7" t="s">
        <v>52</v>
      </c>
      <c r="B7">
        <v>20</v>
      </c>
      <c r="D7" t="s">
        <v>53</v>
      </c>
      <c r="E7">
        <v>6</v>
      </c>
      <c r="G7" t="s">
        <v>54</v>
      </c>
      <c r="H7">
        <v>4</v>
      </c>
      <c r="M7" t="s">
        <v>55</v>
      </c>
      <c r="P7" t="s">
        <v>56</v>
      </c>
      <c r="Q7">
        <v>10</v>
      </c>
      <c r="S7" t="s">
        <v>57</v>
      </c>
      <c r="T7">
        <f>Start!B120</f>
        <v>200</v>
      </c>
      <c r="V7" t="s">
        <v>544</v>
      </c>
      <c r="Y7" t="s">
        <v>808</v>
      </c>
      <c r="Z7">
        <v>4</v>
      </c>
    </row>
    <row r="8" spans="1:23" ht="12.75">
      <c r="A8" t="s">
        <v>58</v>
      </c>
      <c r="B8">
        <v>30</v>
      </c>
      <c r="D8" t="s">
        <v>534</v>
      </c>
      <c r="E8">
        <v>50</v>
      </c>
      <c r="G8" t="s">
        <v>59</v>
      </c>
      <c r="M8" t="s">
        <v>60</v>
      </c>
      <c r="N8">
        <v>365</v>
      </c>
      <c r="P8" t="s">
        <v>61</v>
      </c>
      <c r="Q8">
        <v>3</v>
      </c>
      <c r="S8" t="s">
        <v>62</v>
      </c>
      <c r="T8">
        <f>Start!B121</f>
        <v>100</v>
      </c>
      <c r="V8" t="s">
        <v>583</v>
      </c>
      <c r="W8">
        <v>10</v>
      </c>
    </row>
    <row r="9" spans="1:23" ht="12.75">
      <c r="A9" t="s">
        <v>63</v>
      </c>
      <c r="D9" t="s">
        <v>645</v>
      </c>
      <c r="G9" t="s">
        <v>64</v>
      </c>
      <c r="H9">
        <v>200</v>
      </c>
      <c r="M9" t="s">
        <v>65</v>
      </c>
      <c r="N9">
        <v>700</v>
      </c>
      <c r="P9" t="s">
        <v>66</v>
      </c>
      <c r="Q9">
        <v>4</v>
      </c>
      <c r="S9" t="s">
        <v>67</v>
      </c>
      <c r="T9">
        <v>0</v>
      </c>
      <c r="V9" t="s">
        <v>585</v>
      </c>
      <c r="W9">
        <v>0.25</v>
      </c>
    </row>
    <row r="10" spans="1:23" ht="12.75">
      <c r="A10" t="s">
        <v>68</v>
      </c>
      <c r="B10">
        <v>2</v>
      </c>
      <c r="D10" t="s">
        <v>646</v>
      </c>
      <c r="G10" t="s">
        <v>69</v>
      </c>
      <c r="H10">
        <v>5</v>
      </c>
      <c r="M10" t="s">
        <v>70</v>
      </c>
      <c r="N10">
        <v>1200</v>
      </c>
      <c r="P10" t="s">
        <v>71</v>
      </c>
      <c r="S10" t="s">
        <v>72</v>
      </c>
      <c r="T10">
        <f>Start!B63</f>
        <v>18</v>
      </c>
      <c r="V10" t="s">
        <v>586</v>
      </c>
      <c r="W10">
        <v>0.5</v>
      </c>
    </row>
    <row r="11" spans="1:23" ht="12.75">
      <c r="A11" t="s">
        <v>73</v>
      </c>
      <c r="B11">
        <v>3</v>
      </c>
      <c r="D11" t="s">
        <v>647</v>
      </c>
      <c r="E11">
        <v>4</v>
      </c>
      <c r="G11" t="s">
        <v>74</v>
      </c>
      <c r="H11">
        <v>24</v>
      </c>
      <c r="M11" t="s">
        <v>75</v>
      </c>
      <c r="N11">
        <v>300</v>
      </c>
      <c r="P11" t="s">
        <v>76</v>
      </c>
      <c r="Q11">
        <v>500</v>
      </c>
      <c r="S11" t="s">
        <v>77</v>
      </c>
      <c r="T11">
        <f>Start!B68</f>
        <v>0.6</v>
      </c>
      <c r="V11" t="s">
        <v>602</v>
      </c>
      <c r="W11">
        <v>8</v>
      </c>
    </row>
    <row r="12" spans="1:23" ht="12.75">
      <c r="A12" t="s">
        <v>78</v>
      </c>
      <c r="B12">
        <v>80</v>
      </c>
      <c r="G12" t="s">
        <v>79</v>
      </c>
      <c r="H12">
        <v>500</v>
      </c>
      <c r="M12" t="s">
        <v>80</v>
      </c>
      <c r="N12">
        <v>4000</v>
      </c>
      <c r="P12" t="s">
        <v>81</v>
      </c>
      <c r="Q12">
        <v>100</v>
      </c>
      <c r="S12" t="s">
        <v>82</v>
      </c>
      <c r="T12">
        <v>200</v>
      </c>
      <c r="V12" t="s">
        <v>614</v>
      </c>
      <c r="W12">
        <v>6</v>
      </c>
    </row>
    <row r="13" spans="1:23" ht="12.75">
      <c r="A13" t="s">
        <v>83</v>
      </c>
      <c r="B13">
        <v>10</v>
      </c>
      <c r="G13" t="s">
        <v>84</v>
      </c>
      <c r="H13">
        <v>6</v>
      </c>
      <c r="M13" t="s">
        <v>85</v>
      </c>
      <c r="P13" t="s">
        <v>86</v>
      </c>
      <c r="Q13">
        <v>40</v>
      </c>
      <c r="S13" t="s">
        <v>87</v>
      </c>
      <c r="T13">
        <v>75</v>
      </c>
      <c r="V13" t="s">
        <v>666</v>
      </c>
      <c r="W13">
        <v>12</v>
      </c>
    </row>
    <row r="14" spans="1:23" ht="12.75">
      <c r="A14" t="s">
        <v>88</v>
      </c>
      <c r="B14">
        <v>75</v>
      </c>
      <c r="G14" t="s">
        <v>89</v>
      </c>
      <c r="H14">
        <v>50</v>
      </c>
      <c r="M14" t="s">
        <v>90</v>
      </c>
      <c r="N14">
        <v>200</v>
      </c>
      <c r="P14" t="s">
        <v>91</v>
      </c>
      <c r="Q14">
        <v>50</v>
      </c>
      <c r="S14" t="s">
        <v>92</v>
      </c>
      <c r="T14">
        <v>0</v>
      </c>
      <c r="V14" t="s">
        <v>746</v>
      </c>
      <c r="W14">
        <v>1.5</v>
      </c>
    </row>
    <row r="15" spans="1:23" ht="12.75">
      <c r="A15" t="s">
        <v>93</v>
      </c>
      <c r="B15">
        <v>5</v>
      </c>
      <c r="G15" t="s">
        <v>94</v>
      </c>
      <c r="H15">
        <v>20</v>
      </c>
      <c r="M15" t="s">
        <v>95</v>
      </c>
      <c r="N15">
        <v>1000</v>
      </c>
      <c r="P15" t="s">
        <v>96</v>
      </c>
      <c r="Q15">
        <v>6</v>
      </c>
      <c r="S15" t="s">
        <v>97</v>
      </c>
      <c r="T15">
        <f>Start!B64</f>
        <v>27</v>
      </c>
      <c r="V15" t="s">
        <v>756</v>
      </c>
      <c r="W15">
        <v>3</v>
      </c>
    </row>
    <row r="16" spans="1:23" ht="12.75">
      <c r="A16" t="s">
        <v>98</v>
      </c>
      <c r="B16">
        <v>48</v>
      </c>
      <c r="G16" t="s">
        <v>99</v>
      </c>
      <c r="H16" s="1">
        <f>Start!B108</f>
        <v>2800</v>
      </c>
      <c r="M16" t="s">
        <v>766</v>
      </c>
      <c r="N16">
        <v>3</v>
      </c>
      <c r="P16" t="s">
        <v>100</v>
      </c>
      <c r="Q16">
        <v>20</v>
      </c>
      <c r="S16" t="s">
        <v>101</v>
      </c>
      <c r="T16">
        <f>Start!B69</f>
        <v>2</v>
      </c>
      <c r="V16" t="s">
        <v>765</v>
      </c>
      <c r="W16">
        <v>30</v>
      </c>
    </row>
    <row r="17" spans="1:20" ht="12.75">
      <c r="A17" t="s">
        <v>102</v>
      </c>
      <c r="B17">
        <v>60</v>
      </c>
      <c r="G17" t="s">
        <v>103</v>
      </c>
      <c r="M17" t="s">
        <v>767</v>
      </c>
      <c r="P17" t="s">
        <v>104</v>
      </c>
      <c r="Q17">
        <v>0.25</v>
      </c>
      <c r="S17" t="s">
        <v>105</v>
      </c>
      <c r="T17">
        <f>Start!B124</f>
        <v>600</v>
      </c>
    </row>
    <row r="18" spans="1:20" ht="12.75">
      <c r="A18" t="s">
        <v>459</v>
      </c>
      <c r="B18">
        <v>1.5</v>
      </c>
      <c r="G18" t="s">
        <v>106</v>
      </c>
      <c r="H18">
        <v>12</v>
      </c>
      <c r="P18" t="s">
        <v>107</v>
      </c>
      <c r="Q18">
        <v>15</v>
      </c>
      <c r="S18" t="s">
        <v>108</v>
      </c>
      <c r="T18">
        <f>Start!B125</f>
        <v>125</v>
      </c>
    </row>
    <row r="19" spans="1:20" ht="12.75">
      <c r="A19" t="s">
        <v>736</v>
      </c>
      <c r="B19">
        <v>15</v>
      </c>
      <c r="G19" t="s">
        <v>109</v>
      </c>
      <c r="H19">
        <v>25</v>
      </c>
      <c r="P19" t="s">
        <v>110</v>
      </c>
      <c r="Q19">
        <v>16</v>
      </c>
      <c r="S19" t="s">
        <v>111</v>
      </c>
      <c r="T19">
        <f>Start!B131/100</f>
        <v>0.15</v>
      </c>
    </row>
    <row r="20" spans="1:20" ht="12.75">
      <c r="A20" t="s">
        <v>112</v>
      </c>
      <c r="B20">
        <v>12</v>
      </c>
      <c r="G20" t="s">
        <v>113</v>
      </c>
      <c r="P20" t="s">
        <v>114</v>
      </c>
      <c r="S20" t="s">
        <v>115</v>
      </c>
      <c r="T20">
        <f>Start!B65</f>
        <v>21</v>
      </c>
    </row>
    <row r="21" spans="7:20" ht="12.75">
      <c r="G21" t="s">
        <v>116</v>
      </c>
      <c r="P21" t="s">
        <v>117</v>
      </c>
      <c r="Q21">
        <v>0.05</v>
      </c>
      <c r="S21" t="s">
        <v>118</v>
      </c>
      <c r="T21">
        <f>Start!B70</f>
        <v>2</v>
      </c>
    </row>
    <row r="22" spans="7:20" ht="12.75">
      <c r="G22" t="s">
        <v>119</v>
      </c>
      <c r="P22" t="s">
        <v>120</v>
      </c>
      <c r="Q22">
        <v>12</v>
      </c>
      <c r="S22" t="s">
        <v>121</v>
      </c>
      <c r="T22">
        <f>Start!B116</f>
        <v>50</v>
      </c>
    </row>
    <row r="23" spans="7:20" ht="12.75">
      <c r="G23" t="s">
        <v>122</v>
      </c>
      <c r="H23">
        <v>3.5</v>
      </c>
      <c r="P23" t="s">
        <v>123</v>
      </c>
      <c r="Q23">
        <v>8</v>
      </c>
      <c r="S23" t="s">
        <v>124</v>
      </c>
      <c r="T23">
        <f>Start!B117</f>
        <v>110</v>
      </c>
    </row>
    <row r="24" spans="7:20" ht="12.75">
      <c r="G24" t="s">
        <v>623</v>
      </c>
      <c r="H24">
        <v>30</v>
      </c>
      <c r="P24" t="s">
        <v>125</v>
      </c>
      <c r="Q24">
        <v>2.5</v>
      </c>
      <c r="S24" t="s">
        <v>126</v>
      </c>
      <c r="T24">
        <f>Start!B131/100</f>
        <v>0.15</v>
      </c>
    </row>
    <row r="25" spans="7:20" ht="12.75">
      <c r="G25" t="s">
        <v>127</v>
      </c>
      <c r="H25">
        <v>0.4</v>
      </c>
      <c r="P25" t="s">
        <v>128</v>
      </c>
      <c r="Q25">
        <v>200</v>
      </c>
      <c r="S25" t="s">
        <v>129</v>
      </c>
      <c r="T25">
        <f>Start!B78</f>
        <v>10440</v>
      </c>
    </row>
    <row r="26" spans="7:20" ht="12.75">
      <c r="G26" t="s">
        <v>130</v>
      </c>
      <c r="H26">
        <v>0.2</v>
      </c>
      <c r="P26" t="s">
        <v>131</v>
      </c>
      <c r="Q26">
        <v>0.3811</v>
      </c>
      <c r="S26" t="s">
        <v>132</v>
      </c>
      <c r="T26">
        <f>Start!B79</f>
        <v>12390</v>
      </c>
    </row>
    <row r="27" spans="16:20" ht="12.75">
      <c r="P27" t="s">
        <v>133</v>
      </c>
      <c r="Q27">
        <v>24</v>
      </c>
      <c r="S27" t="s">
        <v>134</v>
      </c>
      <c r="T27">
        <f>Start!B80</f>
        <v>7890</v>
      </c>
    </row>
    <row r="28" spans="7:20" ht="12.75">
      <c r="G28" t="s">
        <v>431</v>
      </c>
      <c r="H28">
        <f>IF(OR(Start!D27=1,Start!D29=1),16,8)</f>
        <v>8</v>
      </c>
      <c r="P28" t="s">
        <v>135</v>
      </c>
      <c r="Q28">
        <v>3500</v>
      </c>
      <c r="S28" t="s">
        <v>136</v>
      </c>
      <c r="T28">
        <f>Start!B84</f>
        <v>18000</v>
      </c>
    </row>
    <row r="29" spans="7:20" ht="12.75">
      <c r="G29" t="s">
        <v>436</v>
      </c>
      <c r="H29">
        <v>75</v>
      </c>
      <c r="P29" t="s">
        <v>137</v>
      </c>
      <c r="Q29">
        <v>1.5</v>
      </c>
      <c r="S29" t="s">
        <v>138</v>
      </c>
      <c r="T29">
        <f>Start!B83</f>
        <v>25000</v>
      </c>
    </row>
    <row r="30" spans="7:20" ht="12.75">
      <c r="G30" t="s">
        <v>437</v>
      </c>
      <c r="H30">
        <v>32</v>
      </c>
      <c r="P30" t="s">
        <v>139</v>
      </c>
      <c r="Q30">
        <v>3.5</v>
      </c>
      <c r="S30" t="s">
        <v>140</v>
      </c>
      <c r="T30">
        <f>Start!B76</f>
        <v>8490</v>
      </c>
    </row>
    <row r="31" spans="7:20" ht="12.75">
      <c r="G31" t="s">
        <v>438</v>
      </c>
      <c r="H31">
        <v>40</v>
      </c>
      <c r="P31" t="s">
        <v>482</v>
      </c>
      <c r="S31" t="s">
        <v>141</v>
      </c>
      <c r="T31">
        <f>Start!B77</f>
        <v>12500</v>
      </c>
    </row>
    <row r="32" spans="16:20" ht="12.75">
      <c r="P32" t="s">
        <v>483</v>
      </c>
      <c r="Q32">
        <v>600</v>
      </c>
      <c r="S32" t="s">
        <v>142</v>
      </c>
      <c r="T32">
        <f>Start!B81</f>
        <v>5860</v>
      </c>
    </row>
    <row r="33" spans="7:19" ht="12.75">
      <c r="G33" t="s">
        <v>480</v>
      </c>
      <c r="H33">
        <v>125</v>
      </c>
      <c r="P33" t="s">
        <v>536</v>
      </c>
      <c r="Q33">
        <v>1000</v>
      </c>
      <c r="S33" t="s">
        <v>143</v>
      </c>
    </row>
    <row r="34" spans="7:20" ht="12.75">
      <c r="G34" t="s">
        <v>481</v>
      </c>
      <c r="P34" t="s">
        <v>537</v>
      </c>
      <c r="Q34">
        <v>0.25</v>
      </c>
      <c r="S34" t="s">
        <v>144</v>
      </c>
      <c r="T34">
        <f>Start!B82</f>
        <v>10200</v>
      </c>
    </row>
    <row r="35" spans="7:19" ht="12.75">
      <c r="G35" t="s">
        <v>626</v>
      </c>
      <c r="H35">
        <v>15000</v>
      </c>
      <c r="P35" t="s">
        <v>651</v>
      </c>
      <c r="Q35">
        <v>32</v>
      </c>
      <c r="S35" t="s">
        <v>145</v>
      </c>
    </row>
    <row r="36" spans="7:20" ht="12.75">
      <c r="G36" t="s">
        <v>630</v>
      </c>
      <c r="H36">
        <v>850</v>
      </c>
      <c r="P36" t="s">
        <v>652</v>
      </c>
      <c r="Q36">
        <v>15000</v>
      </c>
      <c r="S36" t="s">
        <v>420</v>
      </c>
      <c r="T36">
        <f>Start!B85</f>
        <v>56000</v>
      </c>
    </row>
    <row r="37" spans="7:20" ht="12.75">
      <c r="G37" t="s">
        <v>658</v>
      </c>
      <c r="H37" s="1">
        <f>Start!B109</f>
        <v>1400</v>
      </c>
      <c r="P37" t="s">
        <v>654</v>
      </c>
      <c r="Q37">
        <v>2500</v>
      </c>
      <c r="S37" t="s">
        <v>678</v>
      </c>
      <c r="T37">
        <f>Start!B88</f>
        <v>20000</v>
      </c>
    </row>
    <row r="38" spans="19:20" ht="12.75">
      <c r="S38" t="s">
        <v>677</v>
      </c>
      <c r="T38">
        <f>Start!B87</f>
        <v>42000</v>
      </c>
    </row>
    <row r="39" spans="19:20" ht="12.75">
      <c r="S39" t="s">
        <v>468</v>
      </c>
      <c r="T39">
        <f>Start!B89</f>
        <v>90000</v>
      </c>
    </row>
    <row r="40" spans="19:20" ht="12.75">
      <c r="S40" t="s">
        <v>475</v>
      </c>
      <c r="T40">
        <f>Start!B103</f>
        <v>9000</v>
      </c>
    </row>
    <row r="41" spans="19:20" ht="12.75">
      <c r="S41" t="s">
        <v>596</v>
      </c>
      <c r="T41">
        <f>Start!B92</f>
        <v>11500</v>
      </c>
    </row>
    <row r="42" spans="19:20" ht="12.75">
      <c r="S42" t="s">
        <v>597</v>
      </c>
      <c r="T42">
        <f>Start!B94</f>
        <v>5700</v>
      </c>
    </row>
    <row r="43" spans="19:20" ht="12.75">
      <c r="S43" t="s">
        <v>796</v>
      </c>
      <c r="T43" s="1">
        <f>IF(F!B49+F!B50+F!B58=0,0,Start!B96)</f>
        <v>0</v>
      </c>
    </row>
    <row r="44" ht="12.75">
      <c r="S44" t="s">
        <v>146</v>
      </c>
    </row>
    <row r="45" spans="19:20" ht="12.75">
      <c r="S45" t="s">
        <v>532</v>
      </c>
      <c r="T45">
        <f>Start!B134</f>
        <v>5000</v>
      </c>
    </row>
    <row r="46" spans="19:20" ht="12.75">
      <c r="S46" t="s">
        <v>531</v>
      </c>
      <c r="T46">
        <f>Start!B137</f>
        <v>1000</v>
      </c>
    </row>
    <row r="47" spans="1:20" ht="12.75">
      <c r="A47" t="s">
        <v>451</v>
      </c>
      <c r="S47" t="s">
        <v>802</v>
      </c>
      <c r="T47" s="1">
        <f>Start!B111*Start!B112</f>
        <v>4200</v>
      </c>
    </row>
    <row r="48" spans="19:20" ht="12.75">
      <c r="S48" t="s">
        <v>803</v>
      </c>
      <c r="T48" s="1">
        <f>Start!B111*Start!B113</f>
        <v>2800</v>
      </c>
    </row>
    <row r="49" ht="12.75">
      <c r="S49" t="s">
        <v>147</v>
      </c>
    </row>
    <row r="50" ht="12.75">
      <c r="S50" t="s">
        <v>148</v>
      </c>
    </row>
    <row r="51" spans="19:20" ht="12.75">
      <c r="S51" t="s">
        <v>529</v>
      </c>
      <c r="T51">
        <v>2000</v>
      </c>
    </row>
    <row r="52" spans="19:20" ht="12.75">
      <c r="S52" t="s">
        <v>528</v>
      </c>
      <c r="T52">
        <f>Start!B128</f>
        <v>100</v>
      </c>
    </row>
    <row r="53" spans="19:20" ht="12.75">
      <c r="S53" t="s">
        <v>526</v>
      </c>
      <c r="T53">
        <f>Start!B130</f>
        <v>125</v>
      </c>
    </row>
    <row r="54" spans="19:20" ht="12.75">
      <c r="S54" t="s">
        <v>527</v>
      </c>
      <c r="T54">
        <f>Start!B129</f>
        <v>600</v>
      </c>
    </row>
    <row r="55" spans="19:20" ht="12.75">
      <c r="S55" t="s">
        <v>571</v>
      </c>
      <c r="T55">
        <v>750</v>
      </c>
    </row>
    <row r="56" spans="19:20" ht="12.75">
      <c r="S56" t="s">
        <v>573</v>
      </c>
      <c r="T56">
        <v>0</v>
      </c>
    </row>
    <row r="57" ht="12.75">
      <c r="S57" t="s">
        <v>574</v>
      </c>
    </row>
    <row r="58" spans="19:20" ht="12.75">
      <c r="S58" t="s">
        <v>587</v>
      </c>
      <c r="T58">
        <f>Start!B72</f>
        <v>320</v>
      </c>
    </row>
    <row r="59" spans="19:20" ht="12.75">
      <c r="S59" t="s">
        <v>590</v>
      </c>
      <c r="T59">
        <f>Start!B73</f>
        <v>51</v>
      </c>
    </row>
    <row r="60" spans="19:20" ht="12.75">
      <c r="S60" t="s">
        <v>591</v>
      </c>
      <c r="T60">
        <f>Start!B74</f>
        <v>12</v>
      </c>
    </row>
    <row r="61" spans="19:20" ht="12.75">
      <c r="S61" t="s">
        <v>594</v>
      </c>
      <c r="T61">
        <f>Start!B133</f>
        <v>2</v>
      </c>
    </row>
  </sheetData>
  <sheetProtection sheet="1" objects="1" scenarios="1"/>
  <printOptions gridLines="1"/>
  <pageMargins left="0.75" right="0.75" top="1" bottom="1" header="0.5" footer="0.5"/>
  <pageSetup fitToHeight="1" fitToWidth="1" horizontalDpi="300" verticalDpi="300" orientation="portrait" scale="84"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T76"/>
  <sheetViews>
    <sheetView zoomScalePageLayoutView="0" workbookViewId="0" topLeftCell="A1">
      <selection activeCell="A19" sqref="A19"/>
    </sheetView>
  </sheetViews>
  <sheetFormatPr defaultColWidth="9.140625" defaultRowHeight="12.75"/>
  <cols>
    <col min="1" max="1" width="25.00390625" style="0" customWidth="1"/>
    <col min="2" max="2" width="7.8515625" style="0" customWidth="1"/>
    <col min="3" max="3" width="1.8515625" style="0" customWidth="1"/>
    <col min="4" max="4" width="8.421875" style="0" customWidth="1"/>
    <col min="5" max="5" width="6.00390625" style="0" bestFit="1" customWidth="1"/>
    <col min="6" max="6" width="2.00390625" style="0" customWidth="1"/>
    <col min="7" max="7" width="7.8515625" style="0" customWidth="1"/>
    <col min="8" max="8" width="7.00390625" style="0" customWidth="1"/>
    <col min="9" max="9" width="2.140625" style="0" customWidth="1"/>
    <col min="10" max="10" width="8.00390625" style="0" customWidth="1"/>
    <col min="11" max="11" width="6.00390625" style="0" bestFit="1" customWidth="1"/>
    <col min="12" max="12" width="2.421875" style="0" customWidth="1"/>
    <col min="13" max="13" width="7.421875" style="0" customWidth="1"/>
    <col min="14" max="14" width="6.8515625" style="0" customWidth="1"/>
    <col min="15" max="15" width="2.8515625" style="0" customWidth="1"/>
    <col min="16" max="16" width="7.421875" style="0" customWidth="1"/>
    <col min="17" max="17" width="8.421875" style="0" bestFit="1" customWidth="1"/>
    <col min="18" max="18" width="3.57421875" style="0" customWidth="1"/>
    <col min="19" max="19" width="9.00390625" style="0" customWidth="1"/>
    <col min="20" max="20" width="8.8515625" style="0" customWidth="1"/>
  </cols>
  <sheetData>
    <row r="1" spans="1:20" ht="12.75">
      <c r="A1" t="s">
        <v>149</v>
      </c>
      <c r="B1">
        <f>(1+B26*0.3)*E26</f>
        <v>0</v>
      </c>
      <c r="D1" t="s">
        <v>150</v>
      </c>
      <c r="G1" t="s">
        <v>151</v>
      </c>
      <c r="J1" t="s">
        <v>152</v>
      </c>
      <c r="M1" t="s">
        <v>153</v>
      </c>
      <c r="N1">
        <f>(E28+B25*0.2)</f>
        <v>0</v>
      </c>
      <c r="P1" t="s">
        <v>154</v>
      </c>
      <c r="Q1">
        <f>E28+B25</f>
        <v>0</v>
      </c>
      <c r="S1" t="s">
        <v>155</v>
      </c>
      <c r="T1">
        <f>Start!B72*(1+B33*0.6)*H52</f>
        <v>0</v>
      </c>
    </row>
    <row r="2" spans="1:20" ht="12.75">
      <c r="A2" t="s">
        <v>156</v>
      </c>
      <c r="D2" t="s">
        <v>157</v>
      </c>
      <c r="E2">
        <f>IF((B52+B53+B58)&gt;0,1,0)</f>
        <v>0</v>
      </c>
      <c r="G2" t="s">
        <v>158</v>
      </c>
      <c r="J2" t="s">
        <v>159</v>
      </c>
      <c r="K2">
        <f>(1+B30*0.5)*E30</f>
        <v>0</v>
      </c>
      <c r="M2" t="s">
        <v>160</v>
      </c>
      <c r="N2">
        <f>(1+B26*0.1)*E26</f>
        <v>0</v>
      </c>
      <c r="P2" t="s">
        <v>161</v>
      </c>
      <c r="S2" t="s">
        <v>162</v>
      </c>
      <c r="T2">
        <f>(1+B74*0.4)*E74</f>
        <v>0</v>
      </c>
    </row>
    <row r="3" spans="1:19" ht="12.75">
      <c r="A3" t="s">
        <v>163</v>
      </c>
      <c r="B3">
        <f>(1+B30*0.5)*E30</f>
        <v>0</v>
      </c>
      <c r="D3" t="s">
        <v>164</v>
      </c>
      <c r="G3" t="s">
        <v>165</v>
      </c>
      <c r="H3">
        <f>IF(Start!F42="y",1,0)</f>
        <v>1</v>
      </c>
      <c r="J3" t="s">
        <v>166</v>
      </c>
      <c r="K3">
        <f>(1+B27*0.25)*E27</f>
        <v>0</v>
      </c>
      <c r="M3" t="s">
        <v>167</v>
      </c>
      <c r="P3" t="s">
        <v>168</v>
      </c>
      <c r="Q3">
        <f>(1+B28*0.5)*E28</f>
        <v>0</v>
      </c>
      <c r="S3" t="s">
        <v>169</v>
      </c>
    </row>
    <row r="4" spans="1:20" ht="12.75">
      <c r="A4" t="s">
        <v>170</v>
      </c>
      <c r="D4" t="s">
        <v>171</v>
      </c>
      <c r="E4">
        <f>IF((F!B48+F!E48)&gt;0,1,0)</f>
        <v>0</v>
      </c>
      <c r="G4" t="s">
        <v>172</v>
      </c>
      <c r="H4">
        <f>IF(Start!F43="y",1,0)</f>
        <v>1</v>
      </c>
      <c r="J4" t="s">
        <v>173</v>
      </c>
      <c r="K4">
        <f>(1+B27*0.125)*E27</f>
        <v>0</v>
      </c>
      <c r="M4" t="s">
        <v>174</v>
      </c>
      <c r="P4" t="s">
        <v>175</v>
      </c>
      <c r="S4" t="s">
        <v>176</v>
      </c>
      <c r="T4">
        <f>4*(1+(K60-1)*0.8)*E52</f>
        <v>0</v>
      </c>
    </row>
    <row r="5" spans="1:20" ht="12.75">
      <c r="A5" t="s">
        <v>177</v>
      </c>
      <c r="B5">
        <f>(1+B66*0.2)*E66</f>
        <v>0</v>
      </c>
      <c r="D5" t="s">
        <v>178</v>
      </c>
      <c r="E5">
        <f>IF((F!B48+F!E48+E64)&gt;0,1,0)</f>
        <v>0</v>
      </c>
      <c r="G5" t="s">
        <v>179</v>
      </c>
      <c r="J5" t="s">
        <v>180</v>
      </c>
      <c r="M5" t="s">
        <v>181</v>
      </c>
      <c r="P5" t="s">
        <v>182</v>
      </c>
      <c r="S5" t="s">
        <v>183</v>
      </c>
      <c r="T5">
        <f>IF(AND(B52=0,B53&gt;=0),0,1)</f>
        <v>0</v>
      </c>
    </row>
    <row r="6" spans="1:19" ht="12.75">
      <c r="A6" t="s">
        <v>184</v>
      </c>
      <c r="B6">
        <f>(1+(H49+Start!D19+B58+E62+B53+B52+B64*(1+((Start!D33-1)*0.166))-1)*0.5)*(E66)</f>
        <v>0</v>
      </c>
      <c r="D6" t="s">
        <v>185</v>
      </c>
      <c r="E6">
        <f>(1+(K60-1)*0.6)*E52</f>
        <v>0</v>
      </c>
      <c r="G6" t="s">
        <v>797</v>
      </c>
      <c r="H6">
        <f>(1+B32*0.2)*E32</f>
        <v>0</v>
      </c>
      <c r="J6" t="s">
        <v>186</v>
      </c>
      <c r="M6" t="s">
        <v>187</v>
      </c>
      <c r="N6">
        <f>(1+B26*0.06)*E26</f>
        <v>0</v>
      </c>
      <c r="P6" t="s">
        <v>664</v>
      </c>
      <c r="Q6">
        <f>IF(Start!F49="y",0,1)</f>
        <v>1</v>
      </c>
      <c r="S6" t="s">
        <v>188</v>
      </c>
    </row>
    <row r="7" spans="1:20" ht="12.75">
      <c r="A7" t="s">
        <v>189</v>
      </c>
      <c r="B7">
        <f>(1+(H49+Start!D19+B58+E62+B53+B52+B64*(1+((Start!D33-1)*0.25))-1)*0.2)*(E66)</f>
        <v>0</v>
      </c>
      <c r="D7" t="s">
        <v>190</v>
      </c>
      <c r="E7">
        <f>(1+B30*0.1)*E30</f>
        <v>0</v>
      </c>
      <c r="G7" t="s">
        <v>530</v>
      </c>
      <c r="J7" t="s">
        <v>191</v>
      </c>
      <c r="M7" t="s">
        <v>192</v>
      </c>
      <c r="P7" t="s">
        <v>422</v>
      </c>
      <c r="Q7">
        <f>E39+E40</f>
        <v>0</v>
      </c>
      <c r="S7" t="s">
        <v>193</v>
      </c>
      <c r="T7">
        <f>(1+B74*0.8)*E74</f>
        <v>0</v>
      </c>
    </row>
    <row r="8" spans="1:20" ht="12.75">
      <c r="A8" t="s">
        <v>194</v>
      </c>
      <c r="B8">
        <f>(1+(B25*0.2))*E28</f>
        <v>0</v>
      </c>
      <c r="D8" t="s">
        <v>195</v>
      </c>
      <c r="E8">
        <f>H49+H50*0.6+E49*0.6*H49</f>
        <v>0</v>
      </c>
      <c r="G8" t="s">
        <v>458</v>
      </c>
      <c r="J8" t="s">
        <v>196</v>
      </c>
      <c r="M8" t="s">
        <v>197</v>
      </c>
      <c r="P8" t="s">
        <v>430</v>
      </c>
      <c r="S8" t="s">
        <v>198</v>
      </c>
      <c r="T8">
        <f>(1+B28*0.5)*E28</f>
        <v>0</v>
      </c>
    </row>
    <row r="9" spans="1:19" ht="12.75">
      <c r="A9" t="s">
        <v>199</v>
      </c>
      <c r="D9" t="s">
        <v>200</v>
      </c>
      <c r="G9" t="s">
        <v>201</v>
      </c>
      <c r="H9">
        <f>IF(B46&gt;0,1,0)</f>
        <v>0</v>
      </c>
      <c r="J9" t="s">
        <v>202</v>
      </c>
      <c r="K9">
        <f>(1+B28*0.3)*E28</f>
        <v>0</v>
      </c>
      <c r="M9" t="s">
        <v>203</v>
      </c>
      <c r="S9" t="s">
        <v>204</v>
      </c>
    </row>
    <row r="10" spans="1:20" ht="12.75">
      <c r="A10" t="s">
        <v>205</v>
      </c>
      <c r="B10">
        <f>(E28)+(B26*0.3*E26)+B25*0.5</f>
        <v>0</v>
      </c>
      <c r="D10" t="s">
        <v>206</v>
      </c>
      <c r="E10">
        <f>(1+B28*0.2)*E28</f>
        <v>0</v>
      </c>
      <c r="G10" t="s">
        <v>207</v>
      </c>
      <c r="H10">
        <f>IF(B42&gt;0,1,0)</f>
        <v>0</v>
      </c>
      <c r="J10" t="s">
        <v>208</v>
      </c>
      <c r="M10" t="s">
        <v>209</v>
      </c>
      <c r="N10">
        <f>(1+B27*0.3)*E27</f>
        <v>0</v>
      </c>
      <c r="P10" t="s">
        <v>464</v>
      </c>
      <c r="Q10">
        <f>IF(Start!F46&gt;3,3,Start!F46)</f>
        <v>0</v>
      </c>
      <c r="S10" t="s">
        <v>210</v>
      </c>
      <c r="T10">
        <f>E28</f>
        <v>0</v>
      </c>
    </row>
    <row r="11" spans="1:20" ht="12.75">
      <c r="A11" t="s">
        <v>211</v>
      </c>
      <c r="B11">
        <f>(1+B30*0.25)*E30</f>
        <v>0</v>
      </c>
      <c r="D11" t="s">
        <v>212</v>
      </c>
      <c r="E11">
        <f>(1+(K60-1)*0.1)*E52</f>
        <v>0</v>
      </c>
      <c r="G11" t="s">
        <v>213</v>
      </c>
      <c r="H11" s="4"/>
      <c r="J11" t="s">
        <v>214</v>
      </c>
      <c r="K11">
        <f>(1+B28*0.4)*E28</f>
        <v>0</v>
      </c>
      <c r="M11" t="s">
        <v>215</v>
      </c>
      <c r="N11">
        <f>IF(B37&gt;0,1,0)</f>
        <v>0</v>
      </c>
      <c r="P11" t="s">
        <v>465</v>
      </c>
      <c r="Q11">
        <f>IF(Start!F45&gt;3,3,Start!F45)</f>
        <v>0</v>
      </c>
      <c r="S11" t="s">
        <v>216</v>
      </c>
      <c r="T11">
        <f>(1+B26*0.3)*E26</f>
        <v>0</v>
      </c>
    </row>
    <row r="12" spans="1:20" ht="12.75">
      <c r="A12" t="s">
        <v>217</v>
      </c>
      <c r="D12" t="s">
        <v>218</v>
      </c>
      <c r="E12">
        <f>(1+B30*0.2)*E30</f>
        <v>0</v>
      </c>
      <c r="G12" t="s">
        <v>219</v>
      </c>
      <c r="H12">
        <f>(1+B27*0.4)*E27</f>
        <v>0</v>
      </c>
      <c r="J12" t="s">
        <v>220</v>
      </c>
      <c r="M12" t="s">
        <v>221</v>
      </c>
      <c r="S12" t="s">
        <v>222</v>
      </c>
      <c r="T12">
        <f>(1+B28*0.2)*E28</f>
        <v>0</v>
      </c>
    </row>
    <row r="13" spans="1:20" ht="12.75">
      <c r="A13" t="s">
        <v>615</v>
      </c>
      <c r="B13">
        <f>(1+B28*0.32)*(E28)</f>
        <v>0</v>
      </c>
      <c r="D13" t="s">
        <v>223</v>
      </c>
      <c r="E13">
        <f>(1+B29*0.1)*E29</f>
        <v>0</v>
      </c>
      <c r="G13" t="s">
        <v>224</v>
      </c>
      <c r="H13">
        <f>(1+B28)*E28</f>
        <v>0</v>
      </c>
      <c r="J13" t="s">
        <v>225</v>
      </c>
      <c r="M13" t="s">
        <v>226</v>
      </c>
      <c r="N13">
        <f>IF(AND(E28=0,B53=0,B58=0,B52=1),1,0)</f>
        <v>0</v>
      </c>
      <c r="S13" t="s">
        <v>227</v>
      </c>
      <c r="T13">
        <f>(1+B28*0.3)*E28</f>
        <v>0</v>
      </c>
    </row>
    <row r="14" spans="4:20" ht="12.75">
      <c r="D14" t="s">
        <v>228</v>
      </c>
      <c r="E14">
        <f>(1+B33*0.2)*E33</f>
        <v>0</v>
      </c>
      <c r="G14" t="s">
        <v>229</v>
      </c>
      <c r="H14">
        <f>E28+B25*0.9</f>
        <v>0</v>
      </c>
      <c r="J14" t="s">
        <v>230</v>
      </c>
      <c r="M14" t="s">
        <v>231</v>
      </c>
      <c r="P14" t="s">
        <v>618</v>
      </c>
      <c r="Q14">
        <f>IF(Start!F38="y",1,0)</f>
        <v>1</v>
      </c>
      <c r="S14" t="s">
        <v>232</v>
      </c>
      <c r="T14">
        <f>E26</f>
        <v>0</v>
      </c>
    </row>
    <row r="15" spans="4:19" ht="12.75">
      <c r="D15" t="s">
        <v>233</v>
      </c>
      <c r="G15" t="s">
        <v>234</v>
      </c>
      <c r="H15" s="8"/>
      <c r="J15" t="s">
        <v>235</v>
      </c>
      <c r="M15" t="s">
        <v>236</v>
      </c>
      <c r="P15" t="s">
        <v>619</v>
      </c>
      <c r="Q15">
        <f>IF(Start!F39="y",1,0)</f>
        <v>1</v>
      </c>
      <c r="S15" t="s">
        <v>237</v>
      </c>
    </row>
    <row r="16" spans="4:20" ht="12.75">
      <c r="D16" t="s">
        <v>238</v>
      </c>
      <c r="G16" t="s">
        <v>435</v>
      </c>
      <c r="H16">
        <f>SUM(B39:B46)</f>
        <v>0</v>
      </c>
      <c r="M16" t="s">
        <v>239</v>
      </c>
      <c r="P16" t="s">
        <v>620</v>
      </c>
      <c r="Q16">
        <f>IF(Start!F40="y",1,0)</f>
        <v>1</v>
      </c>
      <c r="S16" t="s">
        <v>240</v>
      </c>
      <c r="T16">
        <f>(1+B28*0.4)*E28</f>
        <v>0</v>
      </c>
    </row>
    <row r="17" spans="4:19" ht="12.75">
      <c r="D17" t="s">
        <v>241</v>
      </c>
      <c r="E17">
        <f>(1+B76*0.3)*E76</f>
        <v>0</v>
      </c>
      <c r="G17" t="s">
        <v>625</v>
      </c>
      <c r="H17">
        <f>(1+0.075*B65)*E65</f>
        <v>0</v>
      </c>
      <c r="M17" t="s">
        <v>242</v>
      </c>
      <c r="P17" t="s">
        <v>621</v>
      </c>
      <c r="S17" t="s">
        <v>243</v>
      </c>
    </row>
    <row r="18" spans="4:19" ht="12.75">
      <c r="D18" t="s">
        <v>244</v>
      </c>
      <c r="G18" t="s">
        <v>533</v>
      </c>
      <c r="M18" t="s">
        <v>245</v>
      </c>
      <c r="S18" t="s">
        <v>246</v>
      </c>
    </row>
    <row r="19" spans="4:20" ht="12.75">
      <c r="D19" t="s">
        <v>247</v>
      </c>
      <c r="E19">
        <f>IF(B53&gt;0,1,0)</f>
        <v>0</v>
      </c>
      <c r="G19" t="s">
        <v>569</v>
      </c>
      <c r="H19">
        <f>(1+H32*0.4)*(H33)</f>
        <v>0</v>
      </c>
      <c r="M19" t="s">
        <v>248</v>
      </c>
      <c r="N19">
        <f>IF(E28=1,1.2,1)</f>
        <v>1</v>
      </c>
      <c r="S19" t="s">
        <v>249</v>
      </c>
      <c r="T19">
        <f>(1+K49*0.2)*M49*3</f>
        <v>0</v>
      </c>
    </row>
    <row r="20" spans="4:20" ht="12.75">
      <c r="D20" t="s">
        <v>250</v>
      </c>
      <c r="G20" t="s">
        <v>575</v>
      </c>
      <c r="M20" t="s">
        <v>251</v>
      </c>
      <c r="N20">
        <f>(B39*V!T30)+(B40*V!T31)+(B41*V!T25)+(B42*V!T26)+(B44*V!T27)+(B45*V!T32)+(B46*V!T34)</f>
        <v>0</v>
      </c>
      <c r="S20" t="s">
        <v>252</v>
      </c>
      <c r="T20">
        <f>(1+B28*0.5)*E28*3</f>
        <v>0</v>
      </c>
    </row>
    <row r="21" spans="4:20" ht="12.75">
      <c r="D21" t="s">
        <v>253</v>
      </c>
      <c r="E21">
        <f>IF(B58&gt;0,1,0)</f>
        <v>0</v>
      </c>
      <c r="G21" t="s">
        <v>576</v>
      </c>
      <c r="M21" t="s">
        <v>254</v>
      </c>
      <c r="P21" t="s">
        <v>613</v>
      </c>
      <c r="S21" t="s">
        <v>255</v>
      </c>
      <c r="T21">
        <f>(1+B28*0.7)*E28*3</f>
        <v>0</v>
      </c>
    </row>
    <row r="22" spans="4:20" ht="12.75">
      <c r="D22" t="s">
        <v>256</v>
      </c>
      <c r="E22" s="7"/>
      <c r="G22" t="s">
        <v>579</v>
      </c>
      <c r="H22">
        <f>(1+H67*0.5)*(K67)</f>
        <v>0</v>
      </c>
      <c r="M22" t="s">
        <v>568</v>
      </c>
      <c r="P22" t="s">
        <v>612</v>
      </c>
      <c r="Q22">
        <f>(1+0.1*B73)*(E73)</f>
        <v>0</v>
      </c>
      <c r="S22" t="s">
        <v>258</v>
      </c>
      <c r="T22">
        <f>(1+B28*0.6)*E28*3</f>
        <v>0</v>
      </c>
    </row>
    <row r="23" spans="4:19" ht="12.75">
      <c r="D23" t="s">
        <v>259</v>
      </c>
      <c r="E23">
        <f>(1+B29*0.2)*E29</f>
        <v>0</v>
      </c>
      <c r="G23" t="s">
        <v>660</v>
      </c>
      <c r="H23">
        <f>(1+B75*0.4)*E75</f>
        <v>0</v>
      </c>
      <c r="M23" t="s">
        <v>627</v>
      </c>
      <c r="N23">
        <f>IF(AND(B49+B50=0,E43=1),0,1)</f>
        <v>1</v>
      </c>
      <c r="P23" t="s">
        <v>610</v>
      </c>
      <c r="Q23" s="4">
        <f>(1+0.25*B73)*E73</f>
        <v>0</v>
      </c>
      <c r="S23" t="s">
        <v>261</v>
      </c>
    </row>
    <row r="24" spans="4:20" ht="12.75">
      <c r="D24" t="s">
        <v>476</v>
      </c>
      <c r="E24">
        <f>IF(Start!D19=1,1,0)+0.6*IF(Start!C19=1,1,0)</f>
        <v>0</v>
      </c>
      <c r="G24" t="s">
        <v>262</v>
      </c>
      <c r="H24">
        <f>(E66+B66*0.4*E66)</f>
        <v>0</v>
      </c>
      <c r="P24" t="s">
        <v>545</v>
      </c>
      <c r="Q24">
        <f>(1+(B30+B64)*0.5)*(E30)</f>
        <v>0</v>
      </c>
      <c r="S24" t="s">
        <v>264</v>
      </c>
      <c r="T24">
        <f>(1+B28)*E28*320</f>
        <v>0</v>
      </c>
    </row>
    <row r="25" spans="1:20" ht="12.75">
      <c r="A25" t="s">
        <v>265</v>
      </c>
      <c r="B25">
        <f>F!E62</f>
        <v>0</v>
      </c>
      <c r="M25" t="s">
        <v>257</v>
      </c>
      <c r="N25">
        <f>(1+B50*0.1)*H50</f>
        <v>0</v>
      </c>
      <c r="P25" t="s">
        <v>546</v>
      </c>
      <c r="Q25">
        <f>IF(AND(B30=-1,B64=1),1,0)</f>
        <v>0</v>
      </c>
      <c r="S25" t="s">
        <v>267</v>
      </c>
      <c r="T25">
        <f>(1+B30*0.8)*E30*320</f>
        <v>0</v>
      </c>
    </row>
    <row r="26" spans="1:20" ht="12.75">
      <c r="A26" t="s">
        <v>268</v>
      </c>
      <c r="B26">
        <f>((SUM(Start!C15:Start!D19)+SUM(Start!C22:Start!D22))-3)/3</f>
        <v>-1</v>
      </c>
      <c r="D26" t="s">
        <v>269</v>
      </c>
      <c r="E26">
        <f aca="true" t="shared" si="0" ref="E26:E33">IF(B26&gt;-1,1,0)</f>
        <v>0</v>
      </c>
      <c r="M26" t="s">
        <v>471</v>
      </c>
      <c r="P26" t="s">
        <v>547</v>
      </c>
      <c r="Q26">
        <f>(1+B31*0.25)*(E31)+(E64*0.5)</f>
        <v>0</v>
      </c>
      <c r="S26" t="s">
        <v>271</v>
      </c>
      <c r="T26">
        <f>(1+B28)*E28*12</f>
        <v>0</v>
      </c>
    </row>
    <row r="27" spans="1:20" ht="12.75">
      <c r="A27" t="s">
        <v>272</v>
      </c>
      <c r="B27">
        <f>((F!B48+F!E48+F!B59)-5)/5</f>
        <v>-1</v>
      </c>
      <c r="D27" t="s">
        <v>273</v>
      </c>
      <c r="E27">
        <f t="shared" si="0"/>
        <v>0</v>
      </c>
      <c r="P27" t="s">
        <v>548</v>
      </c>
      <c r="S27" t="s">
        <v>275</v>
      </c>
      <c r="T27">
        <f>(1+B30*0.8)*E30*12</f>
        <v>0</v>
      </c>
    </row>
    <row r="28" spans="1:20" ht="12.75">
      <c r="A28" t="s">
        <v>276</v>
      </c>
      <c r="B28">
        <f>((F!B48+F!E48)-4)/4</f>
        <v>-1</v>
      </c>
      <c r="D28" t="s">
        <v>277</v>
      </c>
      <c r="E28">
        <f t="shared" si="0"/>
        <v>0</v>
      </c>
      <c r="G28" t="s">
        <v>278</v>
      </c>
      <c r="H28" s="9">
        <f>IF(B28&gt;-1,1,0.625)</f>
        <v>0.625</v>
      </c>
      <c r="J28" t="s">
        <v>440</v>
      </c>
      <c r="K28">
        <f>IF(AND(B28&gt;-1,B58&gt;0),0.5,1)</f>
        <v>1</v>
      </c>
      <c r="M28" t="s">
        <v>260</v>
      </c>
      <c r="N28">
        <f>(1+B49*0.05)*H49</f>
        <v>0</v>
      </c>
      <c r="P28" t="s">
        <v>549</v>
      </c>
      <c r="S28" t="s">
        <v>279</v>
      </c>
      <c r="T28">
        <f>(1+B28)*E28*12</f>
        <v>0</v>
      </c>
    </row>
    <row r="29" spans="1:20" ht="12.75">
      <c r="A29" t="s">
        <v>280</v>
      </c>
      <c r="B29">
        <f>((B48+E48+B58)-4)/4</f>
        <v>-1</v>
      </c>
      <c r="D29" t="s">
        <v>281</v>
      </c>
      <c r="E29">
        <f t="shared" si="0"/>
        <v>0</v>
      </c>
      <c r="M29" t="s">
        <v>472</v>
      </c>
      <c r="P29" t="s">
        <v>550</v>
      </c>
      <c r="S29" t="s">
        <v>282</v>
      </c>
      <c r="T29">
        <f>(1+B28)*E28*4</f>
        <v>0</v>
      </c>
    </row>
    <row r="30" spans="1:20" ht="12.75">
      <c r="A30" t="s">
        <v>656</v>
      </c>
      <c r="B30">
        <f>(F!B59-1)/1</f>
        <v>-1</v>
      </c>
      <c r="D30" t="s">
        <v>557</v>
      </c>
      <c r="E30">
        <f t="shared" si="0"/>
        <v>0</v>
      </c>
      <c r="P30" t="s">
        <v>551</v>
      </c>
      <c r="Q30" s="4">
        <f>(1+B66*0.5)*(E66)</f>
        <v>0</v>
      </c>
      <c r="S30" t="s">
        <v>283</v>
      </c>
      <c r="T30">
        <f>(1+B30*0.8)*E30*4</f>
        <v>0</v>
      </c>
    </row>
    <row r="31" spans="1:20" ht="12.75">
      <c r="A31" t="s">
        <v>558</v>
      </c>
      <c r="B31">
        <f>(B59+B64)-1/1</f>
        <v>-1</v>
      </c>
      <c r="D31" t="s">
        <v>556</v>
      </c>
      <c r="E31">
        <f t="shared" si="0"/>
        <v>0</v>
      </c>
      <c r="M31" t="s">
        <v>263</v>
      </c>
      <c r="N31">
        <f>(B52*V!T29)</f>
        <v>0</v>
      </c>
      <c r="P31" t="s">
        <v>552</v>
      </c>
      <c r="Q31" s="9">
        <f>(1+B66*0.3333)*(E66)</f>
        <v>0</v>
      </c>
      <c r="S31" t="s">
        <v>284</v>
      </c>
      <c r="T31">
        <f>(1+B28)*E28*4</f>
        <v>0</v>
      </c>
    </row>
    <row r="32" spans="1:20" ht="12.75">
      <c r="A32" t="s">
        <v>460</v>
      </c>
      <c r="B32">
        <f>((SUM(Start!C15:Start!D19)+SUM(Start!C22:Start!D22)+B58)-4)/4</f>
        <v>-1</v>
      </c>
      <c r="D32" t="s">
        <v>457</v>
      </c>
      <c r="E32">
        <f t="shared" si="0"/>
        <v>0</v>
      </c>
      <c r="G32" t="s">
        <v>567</v>
      </c>
      <c r="H32">
        <f>((SUM(Start!C15:Start!D19)+Start!C22+Start!D22)-4)/4</f>
        <v>-1</v>
      </c>
      <c r="J32">
        <f>(SUM(Start!C27+Start!C29+Start!D27+Start!D29)-1)/1</f>
        <v>-1</v>
      </c>
      <c r="M32" t="s">
        <v>266</v>
      </c>
      <c r="N32">
        <f>(B53*V!T28)</f>
        <v>0</v>
      </c>
      <c r="P32" t="s">
        <v>553</v>
      </c>
      <c r="S32" t="s">
        <v>285</v>
      </c>
      <c r="T32">
        <f>4*E28</f>
        <v>0</v>
      </c>
    </row>
    <row r="33" spans="1:20" ht="12.75">
      <c r="A33" t="s">
        <v>452</v>
      </c>
      <c r="B33">
        <f>(K60-1)/1</f>
        <v>-1</v>
      </c>
      <c r="D33" t="s">
        <v>453</v>
      </c>
      <c r="E33">
        <f t="shared" si="0"/>
        <v>0</v>
      </c>
      <c r="H33">
        <f>IF(H32&gt;-1,1,0)</f>
        <v>0</v>
      </c>
      <c r="J33">
        <f>IF(J32&gt;-1,1,0)</f>
        <v>0</v>
      </c>
      <c r="M33" t="s">
        <v>270</v>
      </c>
      <c r="N33">
        <f>IF(AND(B48=1,B46&gt;0),1,0)</f>
        <v>0</v>
      </c>
      <c r="P33" t="s">
        <v>554</v>
      </c>
      <c r="S33" t="s">
        <v>286</v>
      </c>
      <c r="T33">
        <f>4*E30</f>
        <v>0</v>
      </c>
    </row>
    <row r="34" spans="1:19" ht="12.75">
      <c r="A34" t="s">
        <v>434</v>
      </c>
      <c r="B34">
        <f>E48+Start!D27+Start!D29</f>
        <v>0</v>
      </c>
      <c r="D34" t="s">
        <v>421</v>
      </c>
      <c r="E34">
        <f>IF(B34&gt;=1,1,0)</f>
        <v>0</v>
      </c>
      <c r="M34" t="s">
        <v>274</v>
      </c>
      <c r="N34">
        <f>IF(AND(E48=1,B46&gt;0),1,0)</f>
        <v>0</v>
      </c>
      <c r="P34" t="s">
        <v>560</v>
      </c>
      <c r="Q34">
        <f>(1+D71*0.5)*(E71)</f>
        <v>0</v>
      </c>
      <c r="S34" t="s">
        <v>288</v>
      </c>
    </row>
    <row r="35" spans="1:19" ht="12.75">
      <c r="A35" t="s">
        <v>524</v>
      </c>
      <c r="B35">
        <f>((B48+E48+B54+B56)-4)/4</f>
        <v>-1</v>
      </c>
      <c r="D35" t="s">
        <v>525</v>
      </c>
      <c r="E35">
        <f>IF(B35&gt;-1,1,0)</f>
        <v>0</v>
      </c>
      <c r="P35" t="s">
        <v>561</v>
      </c>
      <c r="Q35">
        <f>IF(E28+E30&gt;0,1,0)</f>
        <v>0</v>
      </c>
      <c r="S35" t="s">
        <v>289</v>
      </c>
    </row>
    <row r="36" spans="1:20" ht="12.75">
      <c r="A36" t="s">
        <v>287</v>
      </c>
      <c r="B36">
        <f>((E48+K59)-5)/5</f>
        <v>-1</v>
      </c>
      <c r="D36" t="s">
        <v>419</v>
      </c>
      <c r="E36">
        <f>IF(B36&gt;-1,1,0)</f>
        <v>0</v>
      </c>
      <c r="M36" t="s">
        <v>628</v>
      </c>
      <c r="N36">
        <f>IF(E43=1,0,1)</f>
        <v>1</v>
      </c>
      <c r="P36" t="s">
        <v>562</v>
      </c>
      <c r="Q36">
        <f>(1+B72*0.3)*E72</f>
        <v>0</v>
      </c>
      <c r="S36" t="s">
        <v>290</v>
      </c>
      <c r="T36">
        <f>(1+B30*0.2)*E30</f>
        <v>0</v>
      </c>
    </row>
    <row r="37" spans="1:20" ht="12.75">
      <c r="A37" t="s">
        <v>433</v>
      </c>
      <c r="B37">
        <f>E48+B58</f>
        <v>0</v>
      </c>
      <c r="M37" t="s">
        <v>629</v>
      </c>
      <c r="N37">
        <f>(1+0.9*(B43-1))</f>
        <v>0.09999999999999998</v>
      </c>
      <c r="P37" t="s">
        <v>563</v>
      </c>
      <c r="Q37">
        <f>IF(E28+B58+B64=3,2,IF(E28+B58+B64=2,1.5,IF(E28+B58+B64=1,1,0)))</f>
        <v>0</v>
      </c>
      <c r="S37" t="s">
        <v>292</v>
      </c>
      <c r="T37">
        <f>(1+B30*0.1)*E30</f>
        <v>0</v>
      </c>
    </row>
    <row r="38" spans="16:20" ht="12.75">
      <c r="P38" t="s">
        <v>564</v>
      </c>
      <c r="S38" t="s">
        <v>294</v>
      </c>
      <c r="T38">
        <f>(B52*V!T29+B53*V!T28)</f>
        <v>0</v>
      </c>
    </row>
    <row r="39" spans="1:19" ht="12.75">
      <c r="A39" t="s">
        <v>291</v>
      </c>
      <c r="B39">
        <f>Start!C15+Start!D15</f>
        <v>0</v>
      </c>
      <c r="D39" t="s">
        <v>462</v>
      </c>
      <c r="E39">
        <f>IF((SUM(Start!C15:Start!C18)+Start!C22)=0,0,1)</f>
        <v>0</v>
      </c>
      <c r="H39">
        <f>IF(SUM(B39:B46)&gt;0,1,0)</f>
        <v>0</v>
      </c>
      <c r="M39" t="s">
        <v>635</v>
      </c>
      <c r="N39">
        <f>(1+0.05*(K50))*M50</f>
        <v>0</v>
      </c>
      <c r="P39" t="s">
        <v>565</v>
      </c>
      <c r="S39" t="s">
        <v>296</v>
      </c>
    </row>
    <row r="40" spans="1:20" ht="12.75">
      <c r="A40" t="s">
        <v>293</v>
      </c>
      <c r="B40">
        <f>Start!C16+Start!D16</f>
        <v>0</v>
      </c>
      <c r="D40" t="s">
        <v>463</v>
      </c>
      <c r="E40">
        <f>IF((SUM(Start!D15:Start!D18)+Start!D22)=0,0,1)</f>
        <v>0</v>
      </c>
      <c r="H40">
        <f>(1+(SUM(B39:B46)-1)*0.15)*H39</f>
        <v>0</v>
      </c>
      <c r="P40" t="s">
        <v>566</v>
      </c>
      <c r="S40" t="s">
        <v>298</v>
      </c>
      <c r="T40">
        <f>(1+B74*0.6)*E74</f>
        <v>0</v>
      </c>
    </row>
    <row r="41" spans="1:20" ht="12.75">
      <c r="A41" t="s">
        <v>295</v>
      </c>
      <c r="B41">
        <f>Start!C17+Start!D17</f>
        <v>0</v>
      </c>
      <c r="S41" t="s">
        <v>300</v>
      </c>
      <c r="T41">
        <f>(1+B30*0.8)*E30*4</f>
        <v>0</v>
      </c>
    </row>
    <row r="42" spans="1:19" ht="12.75">
      <c r="A42" t="s">
        <v>297</v>
      </c>
      <c r="B42">
        <f>Start!C18+Start!D18</f>
        <v>0</v>
      </c>
      <c r="S42" t="s">
        <v>302</v>
      </c>
    </row>
    <row r="43" spans="1:20" ht="12.75">
      <c r="A43" t="s">
        <v>461</v>
      </c>
      <c r="B43">
        <f>Start!C19+Start!D19</f>
        <v>0</v>
      </c>
      <c r="D43" t="s">
        <v>484</v>
      </c>
      <c r="E43">
        <f>IF(B43&gt;0,1,0)</f>
        <v>0</v>
      </c>
      <c r="G43">
        <f>IF(Start!C19&gt;0,0.9,0)</f>
        <v>0</v>
      </c>
      <c r="S43" t="s">
        <v>304</v>
      </c>
      <c r="T43">
        <f>IF(AND(B49+B50=0,E43=1),0,1)</f>
        <v>1</v>
      </c>
    </row>
    <row r="44" spans="1:20" ht="12.75">
      <c r="A44" t="s">
        <v>299</v>
      </c>
      <c r="B44">
        <f>Start!C20+Start!D20</f>
        <v>0</v>
      </c>
      <c r="S44" t="s">
        <v>305</v>
      </c>
      <c r="T44">
        <f>(1+B28)*(E28)</f>
        <v>0</v>
      </c>
    </row>
    <row r="45" spans="1:20" ht="12.75">
      <c r="A45" t="s">
        <v>301</v>
      </c>
      <c r="B45">
        <f>Start!C21+Start!D21</f>
        <v>0</v>
      </c>
      <c r="S45" t="s">
        <v>308</v>
      </c>
      <c r="T45">
        <f>(1+B74*0.5)*E74*3</f>
        <v>0</v>
      </c>
    </row>
    <row r="46" spans="1:20" ht="12.75">
      <c r="A46" t="s">
        <v>303</v>
      </c>
      <c r="B46">
        <f>Start!C22+Start!D22</f>
        <v>0</v>
      </c>
      <c r="S46" t="s">
        <v>309</v>
      </c>
      <c r="T46">
        <f>(1+B28*0.8)*(E28)</f>
        <v>0</v>
      </c>
    </row>
    <row r="47" spans="19:20" ht="12.75">
      <c r="S47" t="s">
        <v>311</v>
      </c>
      <c r="T47">
        <f>(1+B30*0.8)*E30</f>
        <v>0</v>
      </c>
    </row>
    <row r="48" spans="1:20" ht="12.75">
      <c r="A48" t="s">
        <v>306</v>
      </c>
      <c r="B48">
        <f>SUM(Start!C15:Start!C22)</f>
        <v>0</v>
      </c>
      <c r="D48" t="s">
        <v>307</v>
      </c>
      <c r="E48">
        <f>SUM(Start!D15:Start!D22)</f>
        <v>0</v>
      </c>
      <c r="S48" t="s">
        <v>314</v>
      </c>
      <c r="T48">
        <f>E53</f>
        <v>0</v>
      </c>
    </row>
    <row r="49" spans="1:20" ht="12.75">
      <c r="A49" t="s">
        <v>477</v>
      </c>
      <c r="B49">
        <f>(SUM(Start!D15:Start!D22)-Start!D19)</f>
        <v>0</v>
      </c>
      <c r="D49" t="s">
        <v>479</v>
      </c>
      <c r="E49">
        <f>((SUM(Start!D15:Start!D18)+SUM(Start!D20:Start!D22))-4)/4</f>
        <v>-1</v>
      </c>
      <c r="G49" t="s">
        <v>473</v>
      </c>
      <c r="H49">
        <f>IF(E49&gt;-1,1,0)</f>
        <v>0</v>
      </c>
      <c r="J49" t="s">
        <v>485</v>
      </c>
      <c r="K49">
        <f>(B49+B50-4)/4</f>
        <v>-1</v>
      </c>
      <c r="M49">
        <f>IF(K49&gt;-1,1,0)</f>
        <v>0</v>
      </c>
      <c r="S49" t="s">
        <v>315</v>
      </c>
      <c r="T49">
        <f>(1+B28*0.3)*E28</f>
        <v>0</v>
      </c>
    </row>
    <row r="50" spans="1:20" ht="12.75">
      <c r="A50" t="s">
        <v>478</v>
      </c>
      <c r="B50">
        <f>(SUM(Start!C15:Start!C18)+SUM(Start!C20:Start!C22))</f>
        <v>0</v>
      </c>
      <c r="G50" t="s">
        <v>470</v>
      </c>
      <c r="H50">
        <f>IF(B50=0,0,1)</f>
        <v>0</v>
      </c>
      <c r="K50">
        <f>((B49+B50)-1)/1</f>
        <v>-1</v>
      </c>
      <c r="M50">
        <f>IF(K50&gt;-1,1,0)</f>
        <v>0</v>
      </c>
      <c r="N50">
        <f>IF(AND(B49+B50&gt;0,B48+E48&gt;0),0.8,1)</f>
        <v>1</v>
      </c>
      <c r="S50" t="s">
        <v>316</v>
      </c>
      <c r="T50">
        <f>(1+B27)*E27</f>
        <v>0</v>
      </c>
    </row>
    <row r="51" ht="12.75">
      <c r="S51" t="s">
        <v>318</v>
      </c>
    </row>
    <row r="52" spans="1:19" ht="12.75">
      <c r="A52" t="s">
        <v>310</v>
      </c>
      <c r="B52">
        <f>Start!D25</f>
        <v>0</v>
      </c>
      <c r="D52" t="s">
        <v>432</v>
      </c>
      <c r="E52">
        <f>IF((B52+B53)&gt;0,1,0)</f>
        <v>0</v>
      </c>
      <c r="G52" t="s">
        <v>439</v>
      </c>
      <c r="H52">
        <f>IF(B52&gt;0,1,0)</f>
        <v>0</v>
      </c>
      <c r="S52" t="s">
        <v>319</v>
      </c>
    </row>
    <row r="53" spans="1:19" ht="12.75">
      <c r="A53" t="s">
        <v>312</v>
      </c>
      <c r="B53">
        <f>Start!C26+Start!D26</f>
        <v>0</v>
      </c>
      <c r="D53" t="s">
        <v>313</v>
      </c>
      <c r="E53">
        <f>IF(B53&gt;0,1,0)</f>
        <v>0</v>
      </c>
      <c r="S53" t="s">
        <v>321</v>
      </c>
    </row>
    <row r="54" spans="1:19" ht="12.75">
      <c r="A54" t="s">
        <v>426</v>
      </c>
      <c r="B54">
        <f>Start!D27</f>
        <v>0</v>
      </c>
      <c r="D54" t="s">
        <v>671</v>
      </c>
      <c r="E54">
        <f>IF(B54=0,0,1)</f>
        <v>0</v>
      </c>
      <c r="S54" t="s">
        <v>322</v>
      </c>
    </row>
    <row r="55" spans="1:20" ht="12.75">
      <c r="A55" t="s">
        <v>427</v>
      </c>
      <c r="B55">
        <f>Start!D28</f>
        <v>0</v>
      </c>
      <c r="S55" t="s">
        <v>323</v>
      </c>
      <c r="T55">
        <f>(1+B28*0.2)*E28</f>
        <v>0</v>
      </c>
    </row>
    <row r="56" spans="1:20" ht="12.75">
      <c r="A56" t="s">
        <v>428</v>
      </c>
      <c r="B56">
        <f>Start!D29</f>
        <v>0</v>
      </c>
      <c r="D56" t="s">
        <v>441</v>
      </c>
      <c r="E56">
        <f>B55+B56</f>
        <v>0</v>
      </c>
      <c r="G56" t="s">
        <v>674</v>
      </c>
      <c r="H56">
        <f>IF(B56=0,0,1)</f>
        <v>0</v>
      </c>
      <c r="S56" t="s">
        <v>324</v>
      </c>
      <c r="T56">
        <f>(E28+0.9*B25)</f>
        <v>0</v>
      </c>
    </row>
    <row r="57" spans="19:20" ht="12.75">
      <c r="S57" t="s">
        <v>325</v>
      </c>
      <c r="T57">
        <f>(1+B28*0.8)*E28</f>
        <v>0</v>
      </c>
    </row>
    <row r="58" spans="1:20" ht="12.75">
      <c r="A58" t="s">
        <v>425</v>
      </c>
      <c r="B58">
        <f>SUM(Start!C27:Start!D29)</f>
        <v>0</v>
      </c>
      <c r="D58" t="s">
        <v>535</v>
      </c>
      <c r="E58">
        <f>IF(B58&gt;0,1,0)</f>
        <v>0</v>
      </c>
      <c r="S58" t="s">
        <v>326</v>
      </c>
      <c r="T58">
        <f>IF(B37&gt;0,3,0)</f>
        <v>0</v>
      </c>
    </row>
    <row r="59" spans="1:20" ht="12.75">
      <c r="A59" t="s">
        <v>317</v>
      </c>
      <c r="B59">
        <f>SUM(Start!C25:Start!D29)</f>
        <v>0</v>
      </c>
      <c r="D59" t="s">
        <v>429</v>
      </c>
      <c r="K59">
        <f>B52+B53+B54+B56</f>
        <v>0</v>
      </c>
      <c r="S59" t="s">
        <v>655</v>
      </c>
      <c r="T59">
        <f>(1+0.4*D71)*E71</f>
        <v>0</v>
      </c>
    </row>
    <row r="60" spans="4:11" ht="12.75">
      <c r="D60" t="s">
        <v>418</v>
      </c>
      <c r="K60">
        <f>B52+B53</f>
        <v>0</v>
      </c>
    </row>
    <row r="61" spans="19:20" ht="12.75">
      <c r="S61" t="s">
        <v>327</v>
      </c>
      <c r="T61">
        <f>IF(B42&gt;0,1,0)</f>
        <v>0</v>
      </c>
    </row>
    <row r="62" spans="1:20" ht="12.75">
      <c r="A62" t="s">
        <v>320</v>
      </c>
      <c r="E62">
        <f>IF(B48&gt;0,1,0)</f>
        <v>0</v>
      </c>
      <c r="S62" t="s">
        <v>328</v>
      </c>
      <c r="T62">
        <f>IF(B46&gt;0,1,0)</f>
        <v>0</v>
      </c>
    </row>
    <row r="64" spans="1:8" ht="12.75">
      <c r="A64" t="s">
        <v>555</v>
      </c>
      <c r="B64">
        <f>IF(Start!D33&gt;0,1,0)</f>
        <v>0</v>
      </c>
      <c r="D64" t="s">
        <v>760</v>
      </c>
      <c r="E64">
        <f>IF(Start!D33&gt;1,1,0)</f>
        <v>0</v>
      </c>
      <c r="G64" t="s">
        <v>759</v>
      </c>
      <c r="H64">
        <f>IF(Start!D33=1,1,0)</f>
        <v>0</v>
      </c>
    </row>
    <row r="65" spans="1:5" ht="12.75">
      <c r="A65" t="s">
        <v>624</v>
      </c>
      <c r="B65">
        <f>((B52+B58)-1)/1</f>
        <v>-1</v>
      </c>
      <c r="E65">
        <f>IF(B65&gt;-1,1,0)</f>
        <v>0</v>
      </c>
    </row>
    <row r="66" spans="1:5" ht="12.75">
      <c r="A66" t="s">
        <v>559</v>
      </c>
      <c r="B66">
        <f>((B48+E48+B59+B64)-5)/5</f>
        <v>-1</v>
      </c>
      <c r="E66">
        <f>IF(B66&gt;-1,1,0)</f>
        <v>0</v>
      </c>
    </row>
    <row r="67" spans="1:11" ht="12.75">
      <c r="A67" t="s">
        <v>572</v>
      </c>
      <c r="E67">
        <f>IF(B48+E48+B58+B52&gt;0,1,0)</f>
        <v>0</v>
      </c>
      <c r="H67">
        <f>((B48+E48+B52+B58)-4)/4</f>
        <v>-1</v>
      </c>
      <c r="K67">
        <f>IF(H67&gt;-1,1,0)</f>
        <v>0</v>
      </c>
    </row>
    <row r="68" spans="1:5" ht="12.75">
      <c r="A68" t="s">
        <v>577</v>
      </c>
      <c r="B68">
        <f>SUM(Start!C15:Start!D19)+Start!C22+Start!D22+Start!D25+SUM(Start!D27:Start!D29)</f>
        <v>0</v>
      </c>
      <c r="E68">
        <f>IF(B68&gt;0,1,0)</f>
        <v>0</v>
      </c>
    </row>
    <row r="69" spans="1:5" ht="12.75">
      <c r="A69" t="s">
        <v>578</v>
      </c>
      <c r="B69">
        <f>SUM(Start!C15:Start!D19)+Start!C22+Start!D22+SUM(Start!D27:Start!D29)</f>
        <v>0</v>
      </c>
      <c r="E69">
        <f>IF(B69&gt;0,1,0)</f>
        <v>0</v>
      </c>
    </row>
    <row r="70" spans="1:7" ht="12.75">
      <c r="A70" t="s">
        <v>814</v>
      </c>
      <c r="B70">
        <f>B48+E48+B52+B58</f>
        <v>0</v>
      </c>
      <c r="E70">
        <f>IF(B70&gt;0,1,0)</f>
        <v>0</v>
      </c>
      <c r="G70" t="s">
        <v>580</v>
      </c>
    </row>
    <row r="71" spans="1:5" ht="12.75">
      <c r="A71" t="s">
        <v>581</v>
      </c>
      <c r="B71">
        <f>B48+E48+B52+B53+B58</f>
        <v>0</v>
      </c>
      <c r="D71">
        <f>(B71-5)/5</f>
        <v>-1</v>
      </c>
      <c r="E71">
        <f>IF(B71&gt;0,1,0)</f>
        <v>0</v>
      </c>
    </row>
    <row r="72" spans="1:5" ht="12.75">
      <c r="A72" t="s">
        <v>598</v>
      </c>
      <c r="B72">
        <f>(Start!D33-3)/3</f>
        <v>-1</v>
      </c>
      <c r="E72">
        <f>IF(B72&gt;-1,1,0)</f>
        <v>0</v>
      </c>
    </row>
    <row r="73" spans="1:5" ht="12.75">
      <c r="A73" t="s">
        <v>611</v>
      </c>
      <c r="B73">
        <f>(Start!D32-1)/1</f>
        <v>-1</v>
      </c>
      <c r="E73">
        <f>IF(B73&gt;-1,1,0)</f>
        <v>0</v>
      </c>
    </row>
    <row r="74" spans="1:5" ht="12.75">
      <c r="A74" t="s">
        <v>649</v>
      </c>
      <c r="B74">
        <f>((B49+B50)-4)/4</f>
        <v>-1</v>
      </c>
      <c r="E74">
        <f>IF(B74&gt;-1,1,0)</f>
        <v>0</v>
      </c>
    </row>
    <row r="75" spans="1:5" ht="12.75">
      <c r="A75" t="s">
        <v>659</v>
      </c>
      <c r="B75">
        <f>((B48+E48+B54+B56)-4)/4</f>
        <v>-1</v>
      </c>
      <c r="E75">
        <f>IF(B75&gt;-1,1,0)</f>
        <v>0</v>
      </c>
    </row>
    <row r="76" spans="1:5" ht="12.75">
      <c r="A76" t="s">
        <v>804</v>
      </c>
      <c r="B76">
        <f>((SUM(B39:B46)-B44-B45)-3)/3</f>
        <v>-1</v>
      </c>
      <c r="E76">
        <f>IF(B76&gt;-1,1,0)</f>
        <v>0</v>
      </c>
    </row>
  </sheetData>
  <sheetProtection sheet="1" objects="1" scenarios="1"/>
  <printOptions gridLines="1"/>
  <pageMargins left="0.75" right="0.75" top="1" bottom="1" header="0.5" footer="0.5"/>
  <pageSetup fitToWidth="2" fitToHeight="1" horizontalDpi="300" verticalDpi="300" orientation="landscape" scale="6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F184"/>
  <sheetViews>
    <sheetView zoomScalePageLayoutView="0" workbookViewId="0" topLeftCell="A155">
      <selection activeCell="A179" sqref="A179"/>
    </sheetView>
  </sheetViews>
  <sheetFormatPr defaultColWidth="9.140625" defaultRowHeight="12.75"/>
  <cols>
    <col min="1" max="1" width="38.28125" style="0" customWidth="1"/>
    <col min="2" max="4" width="12.00390625" style="0" customWidth="1"/>
    <col min="6" max="6" width="7.57421875" style="0" customWidth="1"/>
  </cols>
  <sheetData>
    <row r="1" spans="2:4" ht="12.75">
      <c r="B1" s="5" t="s">
        <v>329</v>
      </c>
      <c r="C1" s="5" t="s">
        <v>330</v>
      </c>
      <c r="D1" s="5" t="s">
        <v>331</v>
      </c>
    </row>
    <row r="2" ht="12.75">
      <c r="A2" t="s">
        <v>332</v>
      </c>
    </row>
    <row r="3" spans="1:4" ht="12.75">
      <c r="A3" t="s">
        <v>333</v>
      </c>
      <c r="B3" s="1">
        <f>(V!B1*V!B2)*(V!T5*(1+V!T6)*F!B1)+(V!E1*V!E1*V!T5*(1+V!T6)*F!Q24)+(V!W1*V!W2*V!T5*(1+V!T6)*F!Q25)</f>
        <v>0</v>
      </c>
      <c r="C3" s="1"/>
      <c r="D3" s="1"/>
    </row>
    <row r="4" spans="1:4" ht="12.75">
      <c r="A4" t="s">
        <v>334</v>
      </c>
      <c r="B4" s="1">
        <f>(V!B3*V!B2*F!B1)*(V!T5*(1+V!T6)*F!E4)+(V!E1*V!E1*V!T5*(1+V!T6)*F!B3)+((V!W1*F!H64+V!W4*F!E64)*V!W2*V!T5*(1+V!T6)*F!B64)+(V!K1*V!B2*V!B2*F!E5*V!T5*(1+V!T6))</f>
        <v>0</v>
      </c>
      <c r="C4" s="1"/>
      <c r="D4" s="1">
        <f>((V!T7*V!B2)+(V!T8*V!B2*F!B5))*V!B2*F!E5</f>
        <v>0</v>
      </c>
    </row>
    <row r="5" spans="1:4" ht="12.75">
      <c r="A5" t="s">
        <v>335</v>
      </c>
      <c r="B5" s="1">
        <f>V!H10*V!H2*V!T5*(1+V!T6)*F!B7</f>
        <v>0</v>
      </c>
      <c r="C5" s="1"/>
      <c r="D5" s="1"/>
    </row>
    <row r="6" spans="1:4" ht="12.75">
      <c r="A6" t="s">
        <v>336</v>
      </c>
      <c r="B6" s="1">
        <f>IF(Start!F47="e",((V!N2+(V!N16*F!B6))*V!N2*V!T5*(1+V!T6)*F!E5)+(V!N16*V!N2*V!T10*(1+V!T11)*F!B6),0)</f>
        <v>0</v>
      </c>
      <c r="C6" s="1"/>
      <c r="D6" s="1">
        <f>IF(Start!F47="e",(V!T8*V!N2*F!H24*F!E5*V!N2),0)</f>
        <v>0</v>
      </c>
    </row>
    <row r="7" spans="1:4" ht="12.75">
      <c r="A7" t="s">
        <v>337</v>
      </c>
      <c r="B7" s="1">
        <f>IF(Start!F47="e",(V!N4*V!N2*V!T5*(1+V!T6)*F!B8)+(V!N3*V!N2*V!T5*(1+V!T6)*F!E12)+((V!W3*F!E64+V!W4*F!H64)*V!W2*V!T5*(1+V!T6)*F!B64),(V!B4*V!B2*V!T5*(1+V!T6)*F!B8)+(V!E2*V!E1*V!T5*(1+V!T6)*F!E12)+((V!W1*F!H64+V!W4*F!E64)*V!W2*V!T5*(1+V!T6)*F!B64))</f>
        <v>0</v>
      </c>
      <c r="C7" s="1"/>
      <c r="D7" s="1"/>
    </row>
    <row r="8" spans="1:4" ht="12.75">
      <c r="A8" t="s">
        <v>338</v>
      </c>
      <c r="B8" s="1">
        <f>IF(Start!F47="e",(V!N5*V!N2*V!T5*(1+V!T6)*F!B10)+(V!N3*V!N2*V!T5*(1+V!T6)*F!Q26),(V!B5*V!B2*V!T5*(1+V!T6)*F!B10)+(V!E2*V!E1*V!T5*(1+V!T6)*F!Q26))</f>
        <v>0</v>
      </c>
      <c r="C8" s="1"/>
      <c r="D8" s="1"/>
    </row>
    <row r="10" spans="1:4" ht="12.75">
      <c r="A10" t="s">
        <v>692</v>
      </c>
      <c r="B10" s="1">
        <f>SUM(B3:B8)</f>
        <v>0</v>
      </c>
      <c r="C10" s="1">
        <f>SUM(C3:C8)</f>
        <v>0</v>
      </c>
      <c r="D10" s="1">
        <f>SUM(D3:D8)</f>
        <v>0</v>
      </c>
    </row>
    <row r="12" ht="12.75">
      <c r="A12" t="s">
        <v>339</v>
      </c>
    </row>
    <row r="13" spans="1:2" ht="12.75">
      <c r="A13" t="s">
        <v>340</v>
      </c>
      <c r="B13" s="1">
        <f>(V!B1*V!B2*V!T5*(1+V!T6)*F!N1)+(V!E2*V!E1*V!T5*(1+V!T6)*F!B11)+(V!W1*V!W4*V!T5*(1+V!T6)*F!Q23)</f>
        <v>0</v>
      </c>
    </row>
    <row r="14" spans="1:2" ht="12.75">
      <c r="A14" t="s">
        <v>341</v>
      </c>
      <c r="B14" s="1">
        <f>(V!B6*V!B2*V!T5*(1+V!T6)*F!N2)+(V!E3*V!E1*V!T5*(1+V!T6)*F!E7)+(V!B3*V!B2*V!T10*(1+V!T11)*F!E4)+(V!E1*V!E1*V!T10*(1+V!T11)*F!E2)+((V!W8*F!H64+V!W6*F!E64)*V!W1*V!T5*(1+V!T6)*F!Q22)+((V!W1*F!H64+V!W4*F!E64)*V!W2*V!T10*(1+V!T11)*F!E73)</f>
        <v>0</v>
      </c>
    </row>
    <row r="15" spans="1:2" ht="12.75">
      <c r="A15" t="s">
        <v>342</v>
      </c>
      <c r="B15" s="1">
        <f>(V!B1*V!B2*V!T5*(1+V!T6)*F!E4)+(V!E11*V!E1*V!T5*(1+V!T6)*F!E2)+(V!W3*V!W1*V!T5*(1+V!T6)*F!E73)</f>
        <v>0</v>
      </c>
    </row>
    <row r="16" spans="1:2" ht="12.75">
      <c r="A16" t="s">
        <v>343</v>
      </c>
      <c r="B16" s="1">
        <f>(V!B8*V!B2*V!T5*(1+V!T6)*F!N6)+(V!E3*V!E1*V!T5*(1+V!T6)*F!E12)+((V!W8*F!H64+V!W6*F!E64)*V!W1*V!T5*(1+V!T6)*F!E73)</f>
        <v>0</v>
      </c>
    </row>
    <row r="17" spans="1:4" ht="12.75">
      <c r="A17" t="s">
        <v>344</v>
      </c>
      <c r="B17" s="1">
        <f>(V!B15*V!B2*V!T5*(1+V!T6)*F!Q30)</f>
        <v>0</v>
      </c>
      <c r="D17" s="1">
        <f>(V!H5*F!Q31)</f>
        <v>0</v>
      </c>
    </row>
    <row r="18" spans="1:4" ht="12.75">
      <c r="A18" t="s">
        <v>345</v>
      </c>
      <c r="B18" s="1">
        <f>(V!H1*V!H2*V!T5*(1+V!T6)*F!B13)+(V!E7*V!E1*V!T5*(1+V!T6)*F!E30)+((V!W15*F!H64+V!W12*F!E64)*V!W1*V!T5*(1+V!T6)*F!E73)</f>
        <v>0</v>
      </c>
      <c r="D18" s="1">
        <f>V!H14*F!Q37</f>
        <v>0</v>
      </c>
    </row>
    <row r="19" spans="1:4" ht="12.75">
      <c r="A19" t="s">
        <v>622</v>
      </c>
      <c r="B19" s="1">
        <f>(V!B6*V!B2*V!T5*(1+V!T6)*F!E10)+(V!H24*V!H2*V!T5*(1+V!T6)*F!H17)+((V!W6*F!H64+V!W16*F!E64)*V!W1*V!T5*(1+V!T6)*F!Q22)+(V!B4*V!B2+V!K1*V!B2*V!B2)*V!T5*(1+V!T6)*(F!Q14*F!E28+F!Q15*F!E65+F!Q16*F!B64)+((V!B4*V!B10)*V!T10*(1+V!T11)*(F!Q14*F!E28+F!Q15*F!E65+F!Q16*F!B64))</f>
        <v>0</v>
      </c>
      <c r="D19" s="1">
        <f>V!H15+(V!T7+V!T8)*V!B2*(F!Q14*F!E28+F!Q15*F!E65+F!Q16*F!B64)</f>
        <v>20</v>
      </c>
    </row>
    <row r="20" spans="1:4" ht="12.75">
      <c r="A20" t="s">
        <v>735</v>
      </c>
      <c r="B20" s="1">
        <f>(V!B19*V!B2*V!T5*(1+V!T6)*F!E28)+(V!B20*V!B2*V!T5*(1+V!T6)*F!E65)+(V!W13*V!W2*V!T5*(1+V!T6)*F!B64)</f>
        <v>0</v>
      </c>
      <c r="D20" s="1"/>
    </row>
    <row r="21" spans="1:4" ht="12.75">
      <c r="A21" t="s">
        <v>346</v>
      </c>
      <c r="B21" s="1">
        <f>((V!B6*V!B2*F!H23+V!B7*F!H33*F!H3+V!B7*F!J33*F!H4)*V!T5*(1+V!T6))+(V!B4*V!B2*V!T5*(1+V!T6)*(F!B52+F!B55+F!B64))+((V!B13*V!B2*F!H23+V!B7*F!H33*F!H3+V!B7*F!J33*F!H4)*V!T10*(1+V!T11))+(V!B3*V!B2*V!T10*(1+V!T11)*(F!B52+F!B55+F!B64))</f>
        <v>0</v>
      </c>
      <c r="D21" s="1">
        <f>IF(Start!F42="y",(V!H16+(V!T7*V!B2)+(V!T8*V!B18)+(V!T12*V!B2)+(V!T13*V!B18))*F!H19+100,100)+IF(Start!F43="y",(V!H37+(V!T7*V!B2)+(V!T8*V!B18)+(V!T12*V!B2)+(V!T13*V!B18))*F!J33+100,100)</f>
        <v>200</v>
      </c>
    </row>
    <row r="23" spans="1:4" ht="12.75">
      <c r="A23" t="s">
        <v>692</v>
      </c>
      <c r="B23" s="1">
        <f>SUM(B13:B21)</f>
        <v>0</v>
      </c>
      <c r="C23" s="1">
        <f>SUM(C13:C21)</f>
        <v>0</v>
      </c>
      <c r="D23" s="1">
        <f>SUM(D13:D21)</f>
        <v>220</v>
      </c>
    </row>
    <row r="25" ht="12.75">
      <c r="A25" t="s">
        <v>347</v>
      </c>
    </row>
    <row r="26" spans="1:4" ht="12.75">
      <c r="A26" t="s">
        <v>348</v>
      </c>
      <c r="D26" s="1">
        <f>V!N8*(F!Q7)+V!N9*(F!B52+F!B53)+V!N8*F!B58+V!N8*F!B43+V!N8*Start!D33</f>
        <v>0</v>
      </c>
    </row>
    <row r="27" spans="1:4" ht="12.75">
      <c r="A27" t="s">
        <v>349</v>
      </c>
      <c r="D27" s="1">
        <f>IF(Start!F47="e",(V!N10*F!Q1+V!N11*(F!B52+F!B53+F!B64)+V!N10*F!B58)*F!Q6,(V!N15*F!Q1+V!N14*(F!B52+F!B53+F!B64)+V!N15*F!B58))</f>
        <v>0</v>
      </c>
    </row>
    <row r="28" spans="1:4" ht="12.75">
      <c r="A28" t="s">
        <v>350</v>
      </c>
      <c r="D28" s="1">
        <f>V!N12*(F!Q10+F!Q11)</f>
        <v>0</v>
      </c>
    </row>
    <row r="29" spans="1:4" ht="12.75">
      <c r="A29" t="s">
        <v>809</v>
      </c>
      <c r="D29" s="1">
        <f>(V!T4*F!Q3)</f>
        <v>0</v>
      </c>
    </row>
    <row r="31" spans="1:4" ht="12.75">
      <c r="A31" t="s">
        <v>693</v>
      </c>
      <c r="B31" s="1">
        <f>SUM(B26:B29)</f>
        <v>0</v>
      </c>
      <c r="C31" s="1">
        <f>SUM(C26:C29)</f>
        <v>0</v>
      </c>
      <c r="D31" s="1">
        <f>SUM(D26:D29)</f>
        <v>0</v>
      </c>
    </row>
    <row r="32" spans="3:4" ht="12.75">
      <c r="C32" s="1"/>
      <c r="D32" s="1"/>
    </row>
    <row r="33" ht="12.75">
      <c r="A33" t="s">
        <v>351</v>
      </c>
    </row>
    <row r="34" spans="1:4" ht="12.75">
      <c r="A34" t="s">
        <v>662</v>
      </c>
      <c r="D34" s="1">
        <f>(V!H2*F!N31)</f>
        <v>0</v>
      </c>
    </row>
    <row r="35" spans="1:4" ht="12.75">
      <c r="A35" t="s">
        <v>352</v>
      </c>
      <c r="D35" s="1">
        <f>V!T36*(Start!C27+Start!D27)+V!T37*(Start!C28+Start!D28)+V!T38*(Start!C29+Start!D29)</f>
        <v>0</v>
      </c>
    </row>
    <row r="36" spans="1:4" ht="12.75">
      <c r="A36" t="s">
        <v>790</v>
      </c>
      <c r="D36" s="1">
        <f>(V!H2*F!N20)</f>
        <v>0</v>
      </c>
    </row>
    <row r="37" spans="1:4" ht="12.75">
      <c r="A37" t="s">
        <v>474</v>
      </c>
      <c r="D37" s="1">
        <f>(V!T2*(F!N25)+V!T1*(F!N28)+V!T40*(F!B54+F!B56))-(3500*(F!N33+F!N34))</f>
        <v>0</v>
      </c>
    </row>
    <row r="38" spans="1:4" ht="12.75">
      <c r="A38" t="s">
        <v>795</v>
      </c>
      <c r="D38" s="1">
        <f>V!T43*F!H6</f>
        <v>0</v>
      </c>
    </row>
    <row r="39" spans="1:4" ht="12.75">
      <c r="A39" t="s">
        <v>791</v>
      </c>
      <c r="D39" s="1">
        <f>(V!T3*F!Q34)</f>
        <v>0</v>
      </c>
    </row>
    <row r="40" spans="1:4" ht="12.75">
      <c r="A40" t="s">
        <v>353</v>
      </c>
      <c r="D40" s="1">
        <f>(V!H2*F!N32)</f>
        <v>0</v>
      </c>
    </row>
    <row r="41" spans="1:4" ht="12.75">
      <c r="A41" t="s">
        <v>631</v>
      </c>
      <c r="D41" s="1">
        <f>V!T39*F!E43*F!N50</f>
        <v>0</v>
      </c>
    </row>
    <row r="42" spans="1:4" ht="12.75">
      <c r="A42" t="s">
        <v>644</v>
      </c>
      <c r="D42" s="1"/>
    </row>
    <row r="43" spans="1:4" ht="12.75">
      <c r="A43" t="s">
        <v>570</v>
      </c>
      <c r="D43" s="1">
        <f>(V!T41+V!T42*(Start!D33-1))*F!E72</f>
        <v>0</v>
      </c>
    </row>
    <row r="44" spans="1:4" ht="12.75">
      <c r="A44" t="s">
        <v>450</v>
      </c>
      <c r="D44" s="1">
        <f>(SUM(D34:D43)*0.06)</f>
        <v>0</v>
      </c>
    </row>
    <row r="46" spans="1:4" ht="12.75">
      <c r="A46" t="s">
        <v>693</v>
      </c>
      <c r="B46" s="1"/>
      <c r="C46" s="1"/>
      <c r="D46" s="1">
        <f>SUM(D34:D44)</f>
        <v>0</v>
      </c>
    </row>
    <row r="48" ht="12.75">
      <c r="A48" t="s">
        <v>354</v>
      </c>
    </row>
    <row r="49" spans="1:4" ht="12.75">
      <c r="A49" t="s">
        <v>648</v>
      </c>
      <c r="B49" s="1">
        <f>IF(Start!F47="e",(V!B14*V!B10*V!T10*(1+V!T11)*(F!E8+F!E24))+(V!E6*V!E2*V!T10*(1+V!T11)*F!E6)+(V!H28*V!H6*V!T10*(1+V!T11)*F!B58)+(V!W1*V!W2*V!T10*(1+V!T11)*Start!D33),(V!B17*V!B10*V!T10*(1+V!T11)*(F!E8+F!E24))+(V!E6*V!E2*V!T10*(1+V!T11)*F!E6)+(V!H28*V!H6*V!T10*(1+V!T11)*F!B58)+(V!W1*V!W2*V!T10*(1+V!T11)*Start!D33))</f>
        <v>0</v>
      </c>
      <c r="C49" s="1"/>
      <c r="D49" s="1">
        <f>V!T51*(F!B54+F!B56)+(V!T55*Start!D33)</f>
        <v>0</v>
      </c>
    </row>
    <row r="50" spans="1:4" ht="12.75">
      <c r="A50" t="s">
        <v>355</v>
      </c>
      <c r="B50" s="1">
        <f>(V!B5*V!B10*V!T10*(1+V!T11)*F!H13)+(V!E2*V!E2*V!T10*(1+V!T11)*F!K2)+(V!W1*V!W3*V!T10*(1+V!T11)*F!Q36)</f>
        <v>0</v>
      </c>
      <c r="C50" s="1"/>
      <c r="D50" s="1">
        <f>(V!T45+V!T53*V!B10*V!B11+V!T52*V!B11)*(F!N39+F!E43+F!E58)+(V!T54*V!B10*(F!H49+F!E43+F!E58))+(V!T46+V!B10*V!T53+V!B10*V!T52+V!T54)*(F!H52)+((((V!W1*(V!W13+V!W11)*(V!T15)*(1+V!T16))+(V!W1*V!W4*V!T53)+(V!W1*V!W4*V!T52))*(F!Q36)+V!T54*F!B64)*(1+V!T19))</f>
        <v>0</v>
      </c>
    </row>
    <row r="51" spans="1:4" ht="12.75">
      <c r="A51" t="s">
        <v>636</v>
      </c>
      <c r="B51" s="1">
        <f>(V!Z7*V!Z1*V!Z6*V!T10*(1+V!T11)*F!E17)+(V!Z7*V!Z4*V!Z1*V!T10*(1+V!T11)*F!E58)</f>
        <v>0</v>
      </c>
      <c r="C51" s="1"/>
      <c r="D51" s="1">
        <f>(V!T47*F!E17+((V!T53*V!Z5+V!T52*V!Z6)*F!E17+V!T54)*(1+V!T19))+(V!T48+(V!T53*V!Z3+V!T52*V!Z4+V!T54)*(1+V!T19))*F!E58</f>
        <v>690</v>
      </c>
    </row>
    <row r="53" spans="1:4" ht="12.75">
      <c r="A53" t="s">
        <v>693</v>
      </c>
      <c r="B53" s="1">
        <f>SUM(B49:B51)</f>
        <v>0</v>
      </c>
      <c r="C53" s="1">
        <f>SUM(C49:C51)</f>
        <v>0</v>
      </c>
      <c r="D53" s="1">
        <f>SUM(D49:D51)</f>
        <v>690</v>
      </c>
    </row>
    <row r="55" ht="12.75">
      <c r="A55" t="s">
        <v>356</v>
      </c>
    </row>
    <row r="56" spans="1:4" ht="12.75">
      <c r="A56" t="s">
        <v>357</v>
      </c>
      <c r="B56" s="1">
        <f>(V!B4+V!B3)*V!T5*(1+V!T6)*F!E68+(V!B3*V!B2*V!T5*(1+V!T6)*F!E69)+(V!E2*V!E1*V!T5*(1+V!T6)*F!B52)</f>
        <v>0</v>
      </c>
      <c r="C56" s="1"/>
      <c r="D56" s="1">
        <f>(V!H14)*F!E68</f>
        <v>0</v>
      </c>
    </row>
    <row r="57" spans="1:4" ht="12.75">
      <c r="A57" t="s">
        <v>358</v>
      </c>
      <c r="B57" s="1">
        <f>((V!H13*V!H2*F!E23*F!E69+V!K1*V!H2*V!H2*F!N11*F!E69)*V!T5*(1+V!T6))+(V!H7*V!H2*V!T10*(1+V!T11)*F!E23*F!E69)</f>
        <v>0</v>
      </c>
      <c r="C57" s="1">
        <f>(V!H13*V!H2*V!T20*(1+V!T21)*F!E23*F!E69*(1+V!T24))</f>
        <v>0</v>
      </c>
      <c r="D57" s="1">
        <f>(V!T7*V!H2+V!T8*V!H2*F!E13)*V!H2*F!N11*F!E69</f>
        <v>0</v>
      </c>
    </row>
    <row r="58" spans="1:4" ht="12.75">
      <c r="A58" t="s">
        <v>359</v>
      </c>
      <c r="B58" s="1">
        <f>(V!H10*V!H2*V!T10*(1+V!T11)*F!H22)</f>
        <v>0</v>
      </c>
      <c r="C58" s="1"/>
      <c r="D58" s="1">
        <f>(V!H29*F!H16)+(V!H33*F!B43)</f>
        <v>0</v>
      </c>
    </row>
    <row r="59" spans="1:4" ht="12.75">
      <c r="A59" t="s">
        <v>456</v>
      </c>
      <c r="B59" s="1">
        <f>((V!H3*V!H2+(V!H25*F!H9))*V!T5*(1+V!T6)*F!H14)+(V!H11*V!H2*V!T5*(1+V!T6)*F!E21*F!N19)+((V!H7*V!H2+V!H7*F!E43+(V!H26*F!H9))*V!T10*(1+V!T11)*F!H14)+(V!H30*V!H2*V!T10*(1+V!T11)*F!E21)</f>
        <v>0</v>
      </c>
      <c r="C59" s="1">
        <f>(((V!H11*V!H6*F!H14*F!N23)+(V!H10*F!H10)+(V!H4*F!H9)+(V!K5*V!H6*V!H2*F!E4))*V!T20*(1+V!T21)*(1+V!T24))+(((V!T22*V!H2)+(V!T23*V!H4*F!E10)*F!H14*V!H6*F!N23)*F!E4*(1+V!T24))+((V!H12*F!H13+(V!H35*F!B43)+(V!H12*F!H10))*(1+V!T24))+((V!H30*V!H7*F!N37+V!K5*V!H6*V!H2)*V!T20*(1+V!T21)+(V!T22*V!H2+V!T23*V!H7*V!H7*F!N37))*(1+V!T24)*(F!E43)+(((V!H15*V!H2+V!K5*V!H2*V!H2)*V!T20*(1+V!T21)+V!T22*V!H2*V!H2+V!T23*V!H4*V!H2+V!H9)*F!E19*F!K67*(1+V!T24))+((((V!H31*V!H7+(V!K5*V!H2*V!H7)*F!K28*F!N36)*V!T20*(1+V!T21)+(V!T22*V!H2*F!N36)+(V!T23*V!H7*V!H7)+V!H36))*F!E21)*(1+V!T24)+((V!H31*V!H2+V!K5*V!H2)*V!T15*(1+V!T16)+V!T17+V!T18*V!H7+V!T52*V!H7)*F!E21*(1+V!T19)</f>
        <v>0</v>
      </c>
      <c r="D59" s="1">
        <f>(V!T8*V!H2*F!E10*V!H2*F!E4)+(V!T8*V!H23*V!H2*F!E21)</f>
        <v>0</v>
      </c>
    </row>
    <row r="60" spans="1:4" ht="12.75">
      <c r="A60" t="s">
        <v>360</v>
      </c>
      <c r="B60" s="1"/>
      <c r="C60" s="1">
        <f>((V!B10*V!B2*V!T15*(1+V!T16)*F!E10)+(V!E1*V!E1*V!T15*(1+V!T16)*F!E11)+(V!E2*V!E1*V!T15*(1+V!T16)*F!E21))*(1+V!T19)+((V!B5*V!B2*V!T20*(1+V!T21)*F!E10)+(V!E7*V!E1*V!T20*(1+V!T21)*F!H52)+(V!H7*V!H2*V!T20*(1+V!T21)*F!E19)+V!H14*F!E71+(V!E6*V!E1*V!T20*(1+V!T21)*F!E21))*(1+V!T24)</f>
        <v>0</v>
      </c>
      <c r="D60" s="1"/>
    </row>
    <row r="61" spans="1:4" ht="12.75">
      <c r="A61" t="s">
        <v>361</v>
      </c>
      <c r="B61" s="1">
        <f>(V!B11*V!B2*V!T5*(1+V!T6)*F!K11)+(V!E1*V!E1*V!T5*(1+V!T6)*F!E12)+(V!B10*V!B2*V!T10*(1+V!T11)*F!K11)+(V!E1*V!E1*V!T10*(1+V!T11)*F!E12)</f>
        <v>0</v>
      </c>
      <c r="C61" s="1"/>
      <c r="D61" s="1"/>
    </row>
    <row r="62" ht="12.75">
      <c r="A62" t="s">
        <v>362</v>
      </c>
    </row>
    <row r="63" spans="1:4" ht="12.75">
      <c r="A63" t="s">
        <v>693</v>
      </c>
      <c r="B63" s="1">
        <f>SUM(B56:B61)</f>
        <v>0</v>
      </c>
      <c r="C63" s="1">
        <f>SUM(C56:C61)</f>
        <v>0</v>
      </c>
      <c r="D63" s="1">
        <f>SUM(D56:D61)</f>
        <v>0</v>
      </c>
    </row>
    <row r="65" ht="12.75">
      <c r="A65" t="s">
        <v>582</v>
      </c>
    </row>
    <row r="66" spans="1:4" ht="12.75">
      <c r="A66" t="s">
        <v>363</v>
      </c>
      <c r="B66" s="1">
        <f>(V!B11*V!B2*V!T5*(1+V!T6)*F!E4)+(V!E1*V!E1*V!T5*(1+V!T6)*F!K2)+(V!B2*V!B2*V!T10*(1+V!T11)*F!E4)+(V!E1*V!E1*V!T10*(1+V!T11)*F!K2)+(V!W4*V!W2*V!T5*(1+V!T6)*F!B64)</f>
        <v>0</v>
      </c>
      <c r="C66" s="1"/>
      <c r="D66" s="1"/>
    </row>
    <row r="67" spans="1:4" ht="12.75">
      <c r="A67" t="s">
        <v>364</v>
      </c>
      <c r="B67" s="1">
        <f>((V!H7+V!H3+V!H7)*V!H2*V!T5*(1+V!T6)*F!K3)</f>
        <v>0</v>
      </c>
      <c r="C67" s="1"/>
      <c r="D67" s="1">
        <f>V!H14*F!E71</f>
        <v>0</v>
      </c>
    </row>
    <row r="68" spans="1:4" ht="12.75">
      <c r="A68" t="s">
        <v>365</v>
      </c>
      <c r="B68" s="1">
        <f>(((V!H7*V!H2*F!H12+V!K1*V!H2*V!H2)*V!T5*(1+V!T6))+(V!H7*V!H6*V!T10*(1+V!T11)*F!H12))*F!E71</f>
        <v>0</v>
      </c>
      <c r="C68" s="1">
        <f>((V!H18*V!H2*F!H12+V!K4*V!H2*V!H2)*V!T15*(1+V!T16)+(V!T17*V!H2+V!T18*V!H2*F!K4)*V!H2)*(1+V!T19)*F!E71</f>
        <v>0</v>
      </c>
      <c r="D68" s="1">
        <f>(V!T7*V!H2+V!T8*V!H2*F!K4)*V!H2*F!E71</f>
        <v>0</v>
      </c>
    </row>
    <row r="69" spans="1:4" ht="12.75">
      <c r="A69" t="s">
        <v>366</v>
      </c>
      <c r="B69" s="1">
        <f>V!W3*V!W2*V!T5*(1+V!T6)*F!B64</f>
        <v>0</v>
      </c>
      <c r="C69" s="1">
        <f>((V!B12*V!B2*V!T15*(1+V!T16)*F!K11)+(V!E8*V!E1*V!T15*(1+V!T16)*F!E58)+(V!E5*V!E1*V!T15*(1+V!T16)*F!E14)+V!H14*F!E71)*(1+V!T19)</f>
        <v>0</v>
      </c>
      <c r="D69" s="1"/>
    </row>
    <row r="70" spans="1:4" ht="12.75">
      <c r="A70" t="s">
        <v>367</v>
      </c>
      <c r="B70" s="1">
        <f>(V!B1*V!B2*V!T5*(1+V!T6)*F!K11)+(V!E2*V!E1*V!T5*(1+V!T6)*F!B3)+(V!B11*V!B10*V!T10*(1+V!T11)*F!K11)+(V!E1*V!E2*V!T10*(1+V!T11)*F!B3)+(V!W8*V!W1*V!T5*(1+V!T6)*0.2*F!B64)</f>
        <v>0</v>
      </c>
      <c r="C70" s="1"/>
      <c r="D70" s="1"/>
    </row>
    <row r="71" spans="1:4" ht="12.75">
      <c r="A71" t="s">
        <v>368</v>
      </c>
      <c r="B71" s="1">
        <f>V!W4*V!W1*V!T5*(1+V!T6)*F!B64</f>
        <v>0</v>
      </c>
      <c r="C71" s="1">
        <f>((V!B7*V!B2*V!T15*(1+V!T16)*F!K9)+(V!E4*V!E1*V!T15*(1+V!T16)*F!E12)+V!H5*F!E71-V!H19*F!N13)*(1+V!T19)</f>
        <v>0</v>
      </c>
      <c r="D71" s="1"/>
    </row>
    <row r="72" spans="1:4" ht="12.75">
      <c r="A72" t="s">
        <v>369</v>
      </c>
      <c r="B72" s="1">
        <f>(V!H7*V!H2*V!T5*(1+V!T6)*F!H12)</f>
        <v>0</v>
      </c>
      <c r="C72" s="1"/>
      <c r="D72" s="1"/>
    </row>
    <row r="73" spans="1:4" ht="12.75">
      <c r="A73" t="s">
        <v>370</v>
      </c>
      <c r="B73" s="1">
        <f>(((V!H3*V!H2*F!N10+V!K1*V!H2*V!H2)*V!T5*(1+V!T6))+(V!H6*V!H7*V!T10*(1+V!T11)*F!N10))*F!E71+(V!W15*V!W1*V!T5*(1+V!T6)+V!W2*V!W3*V!T10*(1+V!T11))*F!B64</f>
        <v>0</v>
      </c>
      <c r="C73" s="1">
        <f>(((V!H13*V!H2*F!N10+V!K4*V!H2*V!H2)*V!T15*(1+V!T16))+(V!T17*V!H2+V!T18*V!H6*F!N10)*V!H2)*(F!E71)*(1+V!T19)</f>
        <v>0</v>
      </c>
      <c r="D73" s="1">
        <f>((V!T7*V!H2+V!T8*V!H6*F!N10)*V!H2)*F!E71</f>
        <v>0</v>
      </c>
    </row>
    <row r="75" spans="1:4" ht="12.75">
      <c r="A75" t="s">
        <v>693</v>
      </c>
      <c r="B75" s="1">
        <f>SUM(B66:B73)</f>
        <v>0</v>
      </c>
      <c r="C75" s="1">
        <f>SUM(C66:C73)</f>
        <v>0</v>
      </c>
      <c r="D75" s="1">
        <f>SUM(D66:D73)</f>
        <v>0</v>
      </c>
    </row>
    <row r="77" spans="1:4" ht="12.75">
      <c r="A77" t="s">
        <v>371</v>
      </c>
      <c r="B77" s="1">
        <f>(B10+B23+B31+B53+B63+B75)</f>
        <v>0</v>
      </c>
      <c r="C77" s="1">
        <f>(C10+C23+C31+C53+C63+C75)</f>
        <v>0</v>
      </c>
      <c r="D77" s="1">
        <f>(D10+D23+D31+D46+D53+D63+D75)</f>
        <v>910</v>
      </c>
    </row>
    <row r="79" spans="1:4" ht="12.75">
      <c r="A79" t="s">
        <v>372</v>
      </c>
      <c r="D79" s="1">
        <f>B77+C77+D77</f>
        <v>910</v>
      </c>
    </row>
    <row r="83" ht="12.75">
      <c r="A83" t="s">
        <v>650</v>
      </c>
    </row>
    <row r="84" spans="1:4" ht="12.75">
      <c r="A84" t="s">
        <v>584</v>
      </c>
      <c r="B84" s="1">
        <f>(V!Q21*V!Q2*V!T10*(1+V!T11)*V!T58*F!E58)+(V!Q1*V!Q2*V!T10*(1+V!T11)*F!T1)+(V!W9*V!W1*V!T10*(1+V!T11)*V!T58*F!B64)</f>
        <v>0</v>
      </c>
      <c r="C84" s="1"/>
      <c r="D84" s="1"/>
    </row>
    <row r="85" spans="1:3" ht="12.75">
      <c r="A85" t="s">
        <v>373</v>
      </c>
      <c r="B85" s="1">
        <f>(V!Q1*V!Q2*V!T10*(1+V!T11)*V!T58*F!T2)+(V!Q1*V!Q2*V!T10*(1+V!T11)*V!T58*F!B43)</f>
        <v>0</v>
      </c>
      <c r="C85" s="1"/>
    </row>
    <row r="86" spans="1:4" ht="12.75">
      <c r="A86" t="s">
        <v>673</v>
      </c>
      <c r="B86" s="1">
        <f>(V!Q34*V!Q2*V!T10*(1+V!T11)*V!T59*F!E54)</f>
        <v>0</v>
      </c>
      <c r="C86" s="1"/>
      <c r="D86" s="1"/>
    </row>
    <row r="87" spans="1:4" ht="12.75">
      <c r="A87" t="s">
        <v>374</v>
      </c>
      <c r="B87" s="1">
        <f>(V!Q3*V!Q2*V!T10*(1+V!T11)*V!T59*F!T40)+(V!Q3*V!Q2*V!T10*(1+V!T11)*V!T59*F!B43)</f>
        <v>0</v>
      </c>
      <c r="C87" s="1"/>
      <c r="D87" s="1"/>
    </row>
    <row r="88" spans="1:4" ht="12.75">
      <c r="A88" t="s">
        <v>672</v>
      </c>
      <c r="B88" s="1">
        <f>(V!Q3*V!T10*(1+V!T11)*V!T60*F!E54)+(V!W14*V!W1*V!T10*(1+V!T11)*V!T60*F!B64)</f>
        <v>0</v>
      </c>
      <c r="C88" s="1"/>
      <c r="D88" s="1"/>
    </row>
    <row r="89" spans="1:3" ht="12.75">
      <c r="A89" t="s">
        <v>375</v>
      </c>
      <c r="B89" s="1">
        <f>(V!Q5*V!Q2*V!T10*(1+V!T11)*V!T60*F!T7)+(V!Q23*V!Q2*V!T10*(1+V!T11)*V!T60*F!B43)</f>
        <v>0</v>
      </c>
      <c r="C89" s="1"/>
    </row>
    <row r="90" spans="1:4" ht="12.75">
      <c r="A90" t="s">
        <v>455</v>
      </c>
      <c r="B90" s="1">
        <f>(V!Q15*V!Q2*V!T10*(1+V!T11)*F!T4)+(V!Q3*V!Q2*V!T10*(1+V!T11)*F!E54*4)+(V!Q5*V!Q2*V!T10*(1+V!T11)*F!E56*4)+(0*V!Q5*V!Q2*V!T10*(1+V!T11)*F!E56*4)</f>
        <v>0</v>
      </c>
      <c r="C90" s="1"/>
      <c r="D90" s="1">
        <f>(V!Q6*F!T5)+(V!Q33*(F!E54+F!H56))</f>
        <v>0</v>
      </c>
    </row>
    <row r="91" spans="1:4" ht="12.75">
      <c r="A91" t="s">
        <v>653</v>
      </c>
      <c r="B91" s="1"/>
      <c r="C91" s="1"/>
      <c r="D91" s="1">
        <f>(V!Q37*F!T46)</f>
        <v>0</v>
      </c>
    </row>
    <row r="93" spans="1:4" ht="12.75">
      <c r="A93" t="s">
        <v>693</v>
      </c>
      <c r="B93" s="1">
        <f>SUM(B84:B91)</f>
        <v>0</v>
      </c>
      <c r="C93" s="1">
        <f>SUM(C84:C91)</f>
        <v>0</v>
      </c>
      <c r="D93" s="1">
        <f>SUM(D84:D91)</f>
        <v>0</v>
      </c>
    </row>
    <row r="95" ht="12.75">
      <c r="A95" t="s">
        <v>588</v>
      </c>
    </row>
    <row r="96" spans="1:4" ht="12.75">
      <c r="A96" t="s">
        <v>376</v>
      </c>
      <c r="B96" s="1">
        <f>(V!Q23*V!Q3*V!T10*(1+V!T11)*F!T8)</f>
        <v>0</v>
      </c>
      <c r="C96" s="1"/>
      <c r="D96" s="1"/>
    </row>
    <row r="97" spans="1:4" ht="12.75">
      <c r="A97" t="s">
        <v>377</v>
      </c>
      <c r="B97" s="1">
        <f>(V!Q3*V!Q2*V!T5*(1+V!T6)*F!T10)</f>
        <v>0</v>
      </c>
      <c r="C97" s="1"/>
      <c r="D97" s="1"/>
    </row>
    <row r="98" spans="1:4" ht="12.75">
      <c r="A98" t="s">
        <v>378</v>
      </c>
      <c r="B98" s="1">
        <f>(V!Q2*V!Q2*V!T5*(1+V!T6)*F!T10)</f>
        <v>0</v>
      </c>
      <c r="C98" s="1"/>
      <c r="D98" s="1"/>
    </row>
    <row r="99" spans="1:4" ht="12.75">
      <c r="A99" t="s">
        <v>379</v>
      </c>
      <c r="B99" s="1">
        <f>((V!Q7+V!Q1*F!T62)*V!Q2*V!T10*(1+V!T11)*F!T56)</f>
        <v>0</v>
      </c>
      <c r="C99" s="1">
        <f>((V!Q27*V!Q3*F!T43*F!T56+V!Q9*F!T61+V!Q3*F!T62+V!K5*V!Q3*V!Q2*F!T10)*V!T20*(1+V!T21)+((V!T22*V!Q2+(V!T23*V!Q24*F!T43*F!T12*F!T56*V!Q3))*F!T10)+(V!Q11*F!T44)+(V!Q36*F!B43)+(V!Q11*F!T61))*(1+V!T24)+((V!Q35*V!Q9*(1+F!G43)+V!K5*V!Q3*V!Q2)*(V!T20)*(1+V!T21)+(V!T22*V!Q2+V!T23*V!Q9*V!Q9*(1+F!G43)))*(1+V!T24)*(F!E43)+((V!Q16*V!Q2+V!K5*V!Q2*V!Q2)*V!T20*(1+V!T21)+(V!T22*V!Q2+V!T23*V!Q24)*V!Q2+V!Q25)*F!T48*F!E28*(1+V!T24)</f>
        <v>0</v>
      </c>
      <c r="D99" s="1"/>
    </row>
    <row r="100" spans="1:4" ht="12.75">
      <c r="A100" t="s">
        <v>380</v>
      </c>
      <c r="B100" s="1">
        <f>(V!Q9*V!Q2*V!T10*(1+V!T11)*F!T13*V!Q26)</f>
        <v>0</v>
      </c>
      <c r="C100" s="1">
        <f>(V!Q9*V!Q3*V!T20*(1+V!T21)*F!T13*(1+V!T24)*V!Q26)</f>
        <v>0</v>
      </c>
      <c r="D100" s="1"/>
    </row>
    <row r="101" spans="1:4" ht="12.75">
      <c r="A101" t="s">
        <v>381</v>
      </c>
      <c r="B101" s="1">
        <f>(V!Q9*V!Q2*V!T10*(1+V!T11)*F!T11*V!Q26)</f>
        <v>0</v>
      </c>
      <c r="C101" s="1">
        <f>(V!Q9*V!Q3*V!T20*(1+V!T21)*F!T11+V!Q9*V!Q3*V!T20*(1+V!T21)*F!B53*F!E28+V!Q12*F!T13)*(1+V!T24)*V!Q26</f>
        <v>0</v>
      </c>
      <c r="D101" s="1"/>
    </row>
    <row r="102" spans="1:4" ht="12.75">
      <c r="A102" t="s">
        <v>382</v>
      </c>
      <c r="B102" s="1"/>
      <c r="C102" s="1">
        <f>(V!Q3*V!Q2*V!T15*(1+V!T16)*F!T55*(1+V!T19)+(V!Q7*V!Q2*V!T20*(1+V!T21)*F!T55+V!Q14*F!T13)*(1+V!T24))+(V!Q3*V!Q2*V!T20*(1+V!T21)*F!T48*F!E28*(1+V!T24))</f>
        <v>0</v>
      </c>
      <c r="D102" s="1"/>
    </row>
    <row r="103" spans="1:4" ht="12.75">
      <c r="A103" t="s">
        <v>383</v>
      </c>
      <c r="B103" s="1">
        <f>(V!Q3*V!Q2*V!T5*(1+V!T6)*F!T14)</f>
        <v>0</v>
      </c>
      <c r="C103" s="1"/>
      <c r="D103" s="1"/>
    </row>
    <row r="105" spans="1:4" ht="12.75">
      <c r="A105" t="s">
        <v>693</v>
      </c>
      <c r="B105" s="1">
        <f>SUM(B96:B103)</f>
        <v>0</v>
      </c>
      <c r="C105" s="1">
        <f>SUM(C96:C103)</f>
        <v>0</v>
      </c>
      <c r="D105" s="1">
        <f>SUM(D96:D103)</f>
        <v>0</v>
      </c>
    </row>
    <row r="107" ht="12.75">
      <c r="A107" t="s">
        <v>442</v>
      </c>
    </row>
    <row r="108" spans="1:4" ht="12.75">
      <c r="A108" t="s">
        <v>376</v>
      </c>
      <c r="B108" s="1">
        <f>(V!Q23*V!Q3*V!T10*(1+V!T11)*F!E21*0.3811)</f>
        <v>0</v>
      </c>
      <c r="C108" s="1"/>
      <c r="D108" s="1"/>
    </row>
    <row r="109" spans="1:4" ht="12.75">
      <c r="A109" t="s">
        <v>377</v>
      </c>
      <c r="B109" s="1">
        <f>(V!Q3*V!Q2*V!T5*(1+V!T6)*F!E21*0.3811)</f>
        <v>0</v>
      </c>
      <c r="C109" s="1"/>
      <c r="D109" s="1"/>
    </row>
    <row r="110" spans="1:4" ht="12.75">
      <c r="A110" t="s">
        <v>384</v>
      </c>
      <c r="B110" s="1">
        <f>(V!Q2*V!Q2*V!T5*(1+V!T6)*F!E21*0.3811)</f>
        <v>0</v>
      </c>
      <c r="C110" s="1"/>
      <c r="D110" s="1"/>
    </row>
    <row r="111" spans="1:4" ht="12.75">
      <c r="A111" t="s">
        <v>385</v>
      </c>
      <c r="B111" s="1">
        <f>(V!Q7*V!Q2*V!T10*(1+V!T11)*F!E21*0.3811)</f>
        <v>0</v>
      </c>
      <c r="C111" s="1">
        <f>((V!Q4*V!Q9+(V!K5*V!Q9*V!Q2)*F!K28)*V!T20*(1+V!T21)+(V!T22*V!Q2)+(V!T23*V!Q30*V!Q9)+(V!Q32+V!Q12))*F!E21*0.3811*(1+V!T24)</f>
        <v>0</v>
      </c>
      <c r="D111" s="1"/>
    </row>
    <row r="112" spans="1:4" ht="12.75">
      <c r="A112" t="s">
        <v>386</v>
      </c>
      <c r="B112" s="1">
        <f>(V!Q3*V!Q2*V!T10*(1+V!T11)*F!E21*0.2048)</f>
        <v>0</v>
      </c>
      <c r="C112" s="1">
        <f>(V!Q15*V!Q2*V!T20*(1+V!T21)*F!E21*0.2048)*(1+V!T24)</f>
        <v>0</v>
      </c>
      <c r="D112" s="1"/>
    </row>
    <row r="113" spans="1:4" ht="12.75">
      <c r="A113" t="s">
        <v>387</v>
      </c>
      <c r="B113" s="1"/>
      <c r="C113" s="1">
        <f>(V!Q3*V!Q2*V!T15*(1+V!T16)*(1+V!T19)+V!Q19*V!Q2*V!T20*(1+V!T21)*(1+V!T24))*F!E21*0.3811</f>
        <v>0</v>
      </c>
      <c r="D113" s="1">
        <f>V!Q14*F!E21*0.3811</f>
        <v>0</v>
      </c>
    </row>
    <row r="114" spans="1:4" ht="12.75">
      <c r="A114" t="s">
        <v>388</v>
      </c>
      <c r="B114" s="1">
        <f>(V!Q3*V!Q2*V!T5*(1+V!T6)*F!E21*0.3811)</f>
        <v>0</v>
      </c>
      <c r="C114" s="1"/>
      <c r="D114" s="1"/>
    </row>
    <row r="116" spans="1:4" ht="12.75">
      <c r="A116" t="s">
        <v>693</v>
      </c>
      <c r="B116" s="1">
        <f>SUM(B108:B114)</f>
        <v>0</v>
      </c>
      <c r="C116" s="1">
        <f>SUM(C108:C114)</f>
        <v>0</v>
      </c>
      <c r="D116" s="1">
        <f>SUM(D108:D114)</f>
        <v>0</v>
      </c>
    </row>
    <row r="117" spans="2:4" ht="12.75">
      <c r="B117" s="1"/>
      <c r="C117" s="1"/>
      <c r="D117" s="1"/>
    </row>
    <row r="118" spans="1:4" ht="12.75">
      <c r="A118" t="s">
        <v>444</v>
      </c>
      <c r="B118" s="1"/>
      <c r="C118" s="1"/>
      <c r="D118" s="1"/>
    </row>
    <row r="119" spans="1:4" ht="12.75">
      <c r="A119" t="s">
        <v>376</v>
      </c>
      <c r="B119" s="1">
        <f>(V!Q23*V!Q3*V!T10*(1+V!T11)*F!E21)</f>
        <v>0</v>
      </c>
      <c r="C119" s="1"/>
      <c r="D119" s="1"/>
    </row>
    <row r="120" spans="1:4" ht="12.75">
      <c r="A120" t="s">
        <v>377</v>
      </c>
      <c r="B120" s="1">
        <f>(V!Q3*V!Q2*V!T5*(1+V!T6)*F!E21)</f>
        <v>0</v>
      </c>
      <c r="C120" s="1"/>
      <c r="D120" s="1"/>
    </row>
    <row r="121" spans="1:4" ht="12.75">
      <c r="A121" t="s">
        <v>384</v>
      </c>
      <c r="B121" s="1">
        <f>(V!Q2*V!Q2*V!T5*(1+V!T6)*F!E21)</f>
        <v>0</v>
      </c>
      <c r="C121" s="1"/>
      <c r="D121" s="1"/>
    </row>
    <row r="122" spans="1:4" ht="12.75">
      <c r="A122" t="s">
        <v>445</v>
      </c>
      <c r="B122" s="1">
        <f>(V!Q9*V!Q2*V!T10*(1+V!T11)*F!E21)</f>
        <v>0</v>
      </c>
      <c r="C122" s="1">
        <f>((V!Q22*V!Q9+V!K5*V!Q9*V!Q2)*V!T20*(1+V!T21)+(V!T22*V!Q9*V!Q2)+(V!T23*V!Q3*V!Q9)+V!Q6)*F!E21*(1+V!T24)</f>
        <v>0</v>
      </c>
      <c r="D122" s="1"/>
    </row>
    <row r="123" spans="1:4" ht="12.75">
      <c r="A123" t="s">
        <v>387</v>
      </c>
      <c r="B123" s="1"/>
      <c r="C123" s="1">
        <f>(V!Q3*V!Q2*V!T15*(1+V!T16)*(1+V!T19)+V!Q19*V!Q2*V!T20*(1+V!T21)*(1+V!T24))*F!E21</f>
        <v>0</v>
      </c>
      <c r="D123" s="1">
        <f>V!Q14*F!E21</f>
        <v>0</v>
      </c>
    </row>
    <row r="124" spans="1:4" ht="12.75">
      <c r="A124" t="s">
        <v>388</v>
      </c>
      <c r="B124" s="1">
        <f>(V!Q3*V!Q2*V!T5*(1+V!T6)*F!E21)</f>
        <v>0</v>
      </c>
      <c r="C124" s="1"/>
      <c r="D124" s="1"/>
    </row>
    <row r="125" spans="2:4" ht="12.75">
      <c r="B125" s="1"/>
      <c r="C125" s="1"/>
      <c r="D125" s="1"/>
    </row>
    <row r="126" spans="1:4" ht="12.75">
      <c r="A126" t="s">
        <v>693</v>
      </c>
      <c r="B126" s="1">
        <f>SUM(B119:B124)</f>
        <v>0</v>
      </c>
      <c r="C126" s="1">
        <f>SUM(C119:C124)</f>
        <v>0</v>
      </c>
      <c r="D126" s="1">
        <f>SUM(D119:D124)</f>
        <v>0</v>
      </c>
    </row>
    <row r="128" ht="12.75">
      <c r="A128" t="s">
        <v>443</v>
      </c>
    </row>
    <row r="129" spans="1:4" ht="12.75">
      <c r="A129" t="s">
        <v>378</v>
      </c>
      <c r="B129" s="1">
        <f>(V!Q2*V!Q2*V!T5*(1+V!T6)*F!T58)</f>
        <v>0</v>
      </c>
      <c r="C129" s="1"/>
      <c r="D129" s="1"/>
    </row>
    <row r="130" spans="1:4" ht="12.75">
      <c r="A130" t="s">
        <v>446</v>
      </c>
      <c r="B130" s="1">
        <f>(V!Q9*V!Q2*V!T10*(1+V!T11)*F!T19)+(V!Q8*V!Q3*V!T10*(1+V!T11)*F!E43)+(V!Q2*V!Q2*V!T10*(1+V!T11)*F!E21*3)+(V!Q2*V!Q2*V!T10*(1+V!T11)*F!E54*4)</f>
        <v>0</v>
      </c>
      <c r="C130" s="1"/>
      <c r="D130" s="1">
        <f>(V!Q11*F!T45)+((V!Q33*V!T60+V!Q6+V!Q28)*F!B43)+(V!Q25*3*F!E21)</f>
        <v>0</v>
      </c>
    </row>
    <row r="131" spans="1:4" ht="12.75">
      <c r="A131" t="s">
        <v>380</v>
      </c>
      <c r="B131" s="1">
        <f>(V!Q9*V!Q2*V!T10*(1+V!T11)*F!T21)+(V!Q8*V!Q2*V!T10*(1+V!T11)*F!E21*0.3811)</f>
        <v>0</v>
      </c>
      <c r="C131" s="1"/>
      <c r="D131" s="1"/>
    </row>
    <row r="132" spans="1:4" ht="12.75">
      <c r="A132" t="s">
        <v>381</v>
      </c>
      <c r="B132" s="1">
        <f>(V!Q2*V!Q3*V!T10*(1+V!T11)*F!T22)+(V!Q1*V!Q2*V!T10*(1+V!T11)*F!E21*0.3811)</f>
        <v>0</v>
      </c>
      <c r="C132" s="1"/>
      <c r="D132" s="1">
        <f>(V!Q14*F!T20)</f>
        <v>0</v>
      </c>
    </row>
    <row r="133" spans="1:4" ht="12.75">
      <c r="A133" t="s">
        <v>389</v>
      </c>
      <c r="B133" s="1">
        <f>(V!Q8*V!Q2*V!T5*(1+V!T6)*F!T55*3)+(V!Q8*V!Q2*V!T10*(1+V!T11)*F!T55*3)+((V!Q2*V!Q2*V!T5*(1+V!T6))+(V!Q3*V!Q2*V!T10*(1+V!T11)))*3*F!E21</f>
        <v>0</v>
      </c>
      <c r="C133" s="1"/>
      <c r="D133" s="1">
        <f>(V!Q16*F!T20)+(V!Q16*F!E21)</f>
        <v>0</v>
      </c>
    </row>
    <row r="135" spans="1:4" ht="12.75">
      <c r="A135" t="s">
        <v>693</v>
      </c>
      <c r="B135" s="1">
        <f>SUM(B129:B133)</f>
        <v>0</v>
      </c>
      <c r="C135" s="1">
        <f>SUM(C129:C133)</f>
        <v>0</v>
      </c>
      <c r="D135" s="1">
        <f>SUM(D129:D133)</f>
        <v>0</v>
      </c>
    </row>
    <row r="137" ht="12.75">
      <c r="A137" t="s">
        <v>390</v>
      </c>
    </row>
    <row r="138" spans="1:4" ht="12.75">
      <c r="A138" t="s">
        <v>391</v>
      </c>
      <c r="B138" s="1">
        <f>(V!Q17*V!Q2*V!T10*(1+V!T11)*F!T24)+(V!Q1*V!Q2*V!T10*(1+V!T11)*F!T25)</f>
        <v>0</v>
      </c>
      <c r="C138" s="1"/>
      <c r="D138" s="1"/>
    </row>
    <row r="139" spans="1:4" ht="12.75">
      <c r="A139" t="s">
        <v>392</v>
      </c>
      <c r="B139" s="1">
        <f>(V!Q2*V!Q2*V!T5*(1+V!T6)*F!T26)+(V!Q17*V!Q2*V!T5*(1+V!T6)*F!T27)+(V!Q9*V!Q2*V!T10*(1+V!T11)*F!T28)+(V!Q2*V!Q2*V!T10*(1+V!T11)*F!T27)+(V!W1*V!W9*Start!D33*V!T10*(1+V!T11)*V!T60*F!B64)</f>
        <v>0</v>
      </c>
      <c r="C139" s="1"/>
      <c r="D139" s="1"/>
    </row>
    <row r="140" spans="1:4" ht="12.75">
      <c r="A140" t="s">
        <v>592</v>
      </c>
      <c r="B140" s="1">
        <f>(V!Q2*V!Q2*V!T5*(1+V!T6)*F!T29)+(V!Q1*V!Q2*V!T5*(1+V!T6)*F!T30)+(V!Q9*V!Q2*V!T10*(1+V!T11)*F!T31)+(V!Q3*V!Q2*V!T10*(1+V!T11)*F!T41)+((V!W10*V!W1*V!T5*(1+V!T6))+(V!W2*V!W1*V!T10*(1+V!T11))*V!T61*F!B64)</f>
        <v>24</v>
      </c>
      <c r="C140" s="1"/>
      <c r="D140" s="1">
        <f>(V!Q13*F!T32+V!Q7*F!T33)</f>
        <v>0</v>
      </c>
    </row>
    <row r="142" spans="1:4" ht="12.75">
      <c r="A142" t="s">
        <v>693</v>
      </c>
      <c r="B142" s="1">
        <f>SUM(B138:B140)</f>
        <v>24</v>
      </c>
      <c r="C142" s="1">
        <f>SUM(C138:C140)</f>
        <v>0</v>
      </c>
      <c r="D142" s="1">
        <f>SUM(D138:D140)</f>
        <v>0</v>
      </c>
    </row>
    <row r="144" ht="12.75">
      <c r="A144" t="s">
        <v>393</v>
      </c>
    </row>
    <row r="145" spans="1:4" ht="12.75">
      <c r="A145" t="s">
        <v>394</v>
      </c>
      <c r="B145" s="1">
        <f>((V!Q5*V!Q2*F!T49+V!K1*V!Q2*V!Q2*F!E71)*V!T5*(1+V!T6)+(V!Q3*V!Q2*V!T5*(1+V!T6)*F!T36)+(V!W1*V!W2*V!T5*(1+V!T6)*F!Q35))+(V!Q9*V!Q9*V!T10*(1+V!T11)*F!T49+V!Q2*V!Q9*V!T10*(1+V!T11)*F!T36+(V!W1*V!W3*V!T10*(1+V!T11)*F!Q35))</f>
        <v>0</v>
      </c>
      <c r="C145" s="1"/>
      <c r="D145" s="1">
        <f>(V!T7*V!Q2+V!T8*V!Q29*F!T50)*V!Q2*F!E71</f>
        <v>0</v>
      </c>
    </row>
    <row r="146" spans="1:4" ht="12.75">
      <c r="A146" t="s">
        <v>595</v>
      </c>
      <c r="B146" s="1">
        <f>(V!Q18*V!Q2*V!T5*(1+V!T6)*F!T16)+(V!Q5*V!Q2*V!T5*(1+V!T6)*F!T37)+(V!W4*V!W1*V!T5*(1+V!T6)*F!B64)</f>
        <v>0</v>
      </c>
      <c r="C146" s="1"/>
      <c r="D146" s="1">
        <f>V!Q14</f>
        <v>50</v>
      </c>
    </row>
    <row r="147" spans="1:4" ht="12.75">
      <c r="A147" t="s">
        <v>695</v>
      </c>
      <c r="B147" s="1">
        <f>(V!Q19*V!Q2*V!T10*(1+V!T11)*F!T57)+(V!Q9*V!Q2*V!T10*(1+V!T11)*F!T47)+(V!W4*V!W1*V!T10*(1+V!T11)*F!B64)</f>
        <v>0</v>
      </c>
      <c r="C147" s="1"/>
      <c r="D147" s="1">
        <f>(F!N20+V!T39*0.3*F!B43+F!B54*V!T36+F!B56*V!T37+(V!T41+V!T42)*Start!D33)*0.1+(F!T38+F!B55*V!T37)*0.05+(V!Q25*F!T62)</f>
        <v>0</v>
      </c>
    </row>
    <row r="148" spans="1:4" ht="12.75">
      <c r="A148" t="s">
        <v>694</v>
      </c>
      <c r="B148" s="1">
        <f>(V!Q16*V!T10*(1+V!T11)*F!T59)+(V!W1*V!W11*V!T10*(1+V!T11)*F!B64)</f>
        <v>0</v>
      </c>
      <c r="C148" s="1"/>
      <c r="D148" s="1"/>
    </row>
    <row r="149" spans="2:4" ht="12.75">
      <c r="B149" s="1"/>
      <c r="C149" s="1"/>
      <c r="D149" s="1"/>
    </row>
    <row r="150" spans="1:4" ht="12.75">
      <c r="A150" t="s">
        <v>693</v>
      </c>
      <c r="B150" s="1">
        <f>SUM(B145:B148)</f>
        <v>0</v>
      </c>
      <c r="C150" s="1">
        <f>SUM(C145:C148)</f>
        <v>0</v>
      </c>
      <c r="D150" s="1">
        <f>SUM(D145:D148)</f>
        <v>50</v>
      </c>
    </row>
    <row r="151" spans="2:4" ht="12.75">
      <c r="B151" s="1"/>
      <c r="C151" s="1"/>
      <c r="D151" s="1"/>
    </row>
    <row r="152" spans="1:4" ht="12.75">
      <c r="A152" t="s">
        <v>696</v>
      </c>
      <c r="B152" s="1">
        <f>0.1424*B77</f>
        <v>0</v>
      </c>
      <c r="C152" s="1">
        <f>0.1424*C77</f>
        <v>0</v>
      </c>
      <c r="D152" s="1">
        <f>0.1424*D77</f>
        <v>129.584</v>
      </c>
    </row>
    <row r="154" spans="1:4" ht="12.75">
      <c r="A154" t="s">
        <v>395</v>
      </c>
      <c r="B154" s="1">
        <f>B93+B105+B116+B126+B135+B142+B150+B152</f>
        <v>24</v>
      </c>
      <c r="C154" s="1">
        <f>C93+C105+C116+C126+C135+C142+C150+C152</f>
        <v>0</v>
      </c>
      <c r="D154" s="1">
        <f>D93+D105+D116+D126+D135+D142+D150+D152</f>
        <v>179.584</v>
      </c>
    </row>
    <row r="156" spans="1:6" ht="12.75">
      <c r="A156" t="s">
        <v>396</v>
      </c>
      <c r="C156" s="1"/>
      <c r="D156" s="1">
        <f>B154+C154+D154</f>
        <v>203.584</v>
      </c>
      <c r="F156" s="1"/>
    </row>
    <row r="161" ht="12.75">
      <c r="A161" t="s">
        <v>397</v>
      </c>
    </row>
    <row r="163" spans="1:5" ht="12.75">
      <c r="A163" t="s">
        <v>398</v>
      </c>
      <c r="B163" s="5" t="s">
        <v>329</v>
      </c>
      <c r="C163" s="5" t="s">
        <v>330</v>
      </c>
      <c r="D163" s="5" t="s">
        <v>399</v>
      </c>
      <c r="E163" s="3" t="s">
        <v>400</v>
      </c>
    </row>
    <row r="164" spans="1:5" ht="12.75">
      <c r="A164" t="s">
        <v>401</v>
      </c>
      <c r="B164" s="1">
        <f>B10</f>
        <v>0</v>
      </c>
      <c r="C164" s="1">
        <f>C10</f>
        <v>0</v>
      </c>
      <c r="D164" s="1">
        <f>D10</f>
        <v>0</v>
      </c>
      <c r="E164" s="1">
        <f>SUM(B164:D164)</f>
        <v>0</v>
      </c>
    </row>
    <row r="165" spans="1:5" ht="12.75">
      <c r="A165" t="s">
        <v>402</v>
      </c>
      <c r="B165" s="1">
        <f>B23</f>
        <v>0</v>
      </c>
      <c r="C165" s="1">
        <f>C23</f>
        <v>0</v>
      </c>
      <c r="D165" s="1">
        <f>D23</f>
        <v>220</v>
      </c>
      <c r="E165" s="1">
        <f aca="true" t="shared" si="0" ref="E165:E171">SUM(B165:D165)</f>
        <v>220</v>
      </c>
    </row>
    <row r="166" spans="1:5" ht="12.75">
      <c r="A166" t="s">
        <v>403</v>
      </c>
      <c r="B166" s="1">
        <f>B31</f>
        <v>0</v>
      </c>
      <c r="C166" s="1">
        <f>C31</f>
        <v>0</v>
      </c>
      <c r="D166" s="1">
        <f>D31</f>
        <v>0</v>
      </c>
      <c r="E166" s="1">
        <f t="shared" si="0"/>
        <v>0</v>
      </c>
    </row>
    <row r="167" spans="1:5" ht="12.75">
      <c r="A167" t="s">
        <v>404</v>
      </c>
      <c r="B167" s="1">
        <f>B46</f>
        <v>0</v>
      </c>
      <c r="C167" s="1">
        <f>C46</f>
        <v>0</v>
      </c>
      <c r="D167" s="1">
        <f>D46</f>
        <v>0</v>
      </c>
      <c r="E167" s="1">
        <f t="shared" si="0"/>
        <v>0</v>
      </c>
    </row>
    <row r="168" spans="1:5" ht="12.75">
      <c r="A168" t="s">
        <v>405</v>
      </c>
      <c r="B168" s="1">
        <f>B53</f>
        <v>0</v>
      </c>
      <c r="C168" s="1">
        <f>C53</f>
        <v>0</v>
      </c>
      <c r="D168" s="1">
        <f>D53</f>
        <v>690</v>
      </c>
      <c r="E168" s="1">
        <f t="shared" si="0"/>
        <v>690</v>
      </c>
    </row>
    <row r="169" spans="1:5" ht="12.75">
      <c r="A169" t="s">
        <v>406</v>
      </c>
      <c r="B169" s="1">
        <f>B63</f>
        <v>0</v>
      </c>
      <c r="C169" s="1">
        <f>C63</f>
        <v>0</v>
      </c>
      <c r="D169" s="1">
        <f>D63</f>
        <v>0</v>
      </c>
      <c r="E169" s="1">
        <f t="shared" si="0"/>
        <v>0</v>
      </c>
    </row>
    <row r="170" spans="1:5" ht="12.75">
      <c r="A170" t="s">
        <v>407</v>
      </c>
      <c r="B170" s="6">
        <f>B75</f>
        <v>0</v>
      </c>
      <c r="C170" s="6">
        <f>C75</f>
        <v>0</v>
      </c>
      <c r="D170" s="6">
        <f>D75</f>
        <v>0</v>
      </c>
      <c r="E170" s="6">
        <f t="shared" si="0"/>
        <v>0</v>
      </c>
    </row>
    <row r="171" spans="2:5" ht="12.75">
      <c r="B171" s="1">
        <f>SUM(B164:B170)</f>
        <v>0</v>
      </c>
      <c r="C171" s="1">
        <f>SUM(C164:C170)</f>
        <v>0</v>
      </c>
      <c r="D171" s="1">
        <f>SUM(D164:D170)</f>
        <v>910</v>
      </c>
      <c r="E171" s="1">
        <f t="shared" si="0"/>
        <v>910</v>
      </c>
    </row>
    <row r="173" ht="12.75">
      <c r="A173" t="s">
        <v>408</v>
      </c>
    </row>
    <row r="174" spans="1:5" ht="12.75">
      <c r="A174" t="s">
        <v>409</v>
      </c>
      <c r="B174" s="1">
        <f>B93</f>
        <v>0</v>
      </c>
      <c r="C174" s="1">
        <f>C93</f>
        <v>0</v>
      </c>
      <c r="D174" s="1">
        <f>D93</f>
        <v>0</v>
      </c>
      <c r="E174" s="1">
        <f aca="true" t="shared" si="1" ref="E174:E181">SUM(B174:D174)</f>
        <v>0</v>
      </c>
    </row>
    <row r="175" spans="1:5" ht="12.75">
      <c r="A175" t="s">
        <v>410</v>
      </c>
      <c r="B175" s="1">
        <f>B105</f>
        <v>0</v>
      </c>
      <c r="C175" s="1">
        <f>C105</f>
        <v>0</v>
      </c>
      <c r="D175" s="1">
        <f>D105</f>
        <v>0</v>
      </c>
      <c r="E175" s="1">
        <f t="shared" si="1"/>
        <v>0</v>
      </c>
    </row>
    <row r="176" spans="1:5" ht="12.75">
      <c r="A176" t="s">
        <v>411</v>
      </c>
      <c r="B176" s="1">
        <f>B116</f>
        <v>0</v>
      </c>
      <c r="C176" s="1">
        <f>C116</f>
        <v>0</v>
      </c>
      <c r="D176" s="1">
        <f>D116</f>
        <v>0</v>
      </c>
      <c r="E176" s="1">
        <f t="shared" si="1"/>
        <v>0</v>
      </c>
    </row>
    <row r="177" spans="1:5" ht="12.75">
      <c r="A177" t="s">
        <v>447</v>
      </c>
      <c r="B177" s="1">
        <f>B126</f>
        <v>0</v>
      </c>
      <c r="C177" s="1">
        <f>C126</f>
        <v>0</v>
      </c>
      <c r="D177" s="1">
        <f>D126</f>
        <v>0</v>
      </c>
      <c r="E177" s="1">
        <f t="shared" si="1"/>
        <v>0</v>
      </c>
    </row>
    <row r="178" spans="1:5" ht="12.75">
      <c r="A178" t="s">
        <v>839</v>
      </c>
      <c r="B178" s="1">
        <f>B135</f>
        <v>0</v>
      </c>
      <c r="C178" s="1">
        <f>C135</f>
        <v>0</v>
      </c>
      <c r="D178" s="1">
        <f>D135</f>
        <v>0</v>
      </c>
      <c r="E178" s="1">
        <f t="shared" si="1"/>
        <v>0</v>
      </c>
    </row>
    <row r="179" spans="1:5" ht="12.75">
      <c r="A179" t="s">
        <v>412</v>
      </c>
      <c r="B179" s="1">
        <f>B142</f>
        <v>24</v>
      </c>
      <c r="C179" s="1">
        <f>C142</f>
        <v>0</v>
      </c>
      <c r="D179" s="1">
        <f>D142</f>
        <v>0</v>
      </c>
      <c r="E179" s="1">
        <f t="shared" si="1"/>
        <v>24</v>
      </c>
    </row>
    <row r="180" spans="1:5" ht="12.75">
      <c r="A180" t="s">
        <v>413</v>
      </c>
      <c r="B180" s="1">
        <f>B150</f>
        <v>0</v>
      </c>
      <c r="C180" s="1">
        <f>C150</f>
        <v>0</v>
      </c>
      <c r="D180" s="1">
        <f>D150</f>
        <v>50</v>
      </c>
      <c r="E180" s="1">
        <f t="shared" si="1"/>
        <v>50</v>
      </c>
    </row>
    <row r="181" spans="1:5" ht="12.75">
      <c r="A181" t="s">
        <v>414</v>
      </c>
      <c r="B181" s="6">
        <f>B152</f>
        <v>0</v>
      </c>
      <c r="C181" s="6">
        <f>C152</f>
        <v>0</v>
      </c>
      <c r="D181" s="6">
        <f>D152</f>
        <v>129.584</v>
      </c>
      <c r="E181" s="6">
        <f t="shared" si="1"/>
        <v>129.584</v>
      </c>
    </row>
    <row r="183" spans="1:5" ht="12.75">
      <c r="A183" t="s">
        <v>415</v>
      </c>
      <c r="B183" s="1">
        <f>SUM(B174:B180)</f>
        <v>24</v>
      </c>
      <c r="C183" s="1">
        <f>SUM(C174:C180)</f>
        <v>0</v>
      </c>
      <c r="D183" s="1">
        <f>SUM(D174:D180)</f>
        <v>50</v>
      </c>
      <c r="E183" s="1">
        <f>SUM(E174:E180)</f>
        <v>74</v>
      </c>
    </row>
    <row r="184" spans="1:5" ht="12.75">
      <c r="A184" t="s">
        <v>416</v>
      </c>
      <c r="B184" s="1">
        <f>SUM(B174:B181)</f>
        <v>24</v>
      </c>
      <c r="C184" s="1">
        <f>SUM(C174:C181)</f>
        <v>0</v>
      </c>
      <c r="D184" s="1">
        <f>SUM(D174:D181)</f>
        <v>179.584</v>
      </c>
      <c r="E184" s="1">
        <f>SUM(B184:D184)</f>
        <v>203.584</v>
      </c>
    </row>
  </sheetData>
  <sheetProtection sheet="1" objects="1" scenarios="1"/>
  <printOptions gridLines="1"/>
  <pageMargins left="0.75" right="0.75" top="1" bottom="1" header="0.5" footer="0.5"/>
  <pageSetup fitToHeight="3" fitToWidth="3" horizontalDpi="300" verticalDpi="300" orientation="portrait" scale="80"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M111"/>
  <sheetViews>
    <sheetView zoomScalePageLayoutView="0" workbookViewId="0" topLeftCell="A43">
      <selection activeCell="H58" sqref="H58"/>
    </sheetView>
  </sheetViews>
  <sheetFormatPr defaultColWidth="9.140625" defaultRowHeight="12.75"/>
  <cols>
    <col min="1" max="1" width="2.7109375" style="0" customWidth="1"/>
    <col min="2" max="2" width="2.8515625" style="0" customWidth="1"/>
    <col min="3" max="3" width="70.7109375" style="0" customWidth="1"/>
    <col min="4" max="5" width="6.140625" style="0" customWidth="1"/>
    <col min="6" max="6" width="6.421875" style="0" bestFit="1" customWidth="1"/>
    <col min="7" max="7" width="8.00390625" style="0" bestFit="1" customWidth="1"/>
    <col min="8" max="8" width="5.57421875" style="0" customWidth="1"/>
    <col min="9" max="9" width="5.28125" style="0" customWidth="1"/>
    <col min="10" max="10" width="6.421875" style="0" bestFit="1" customWidth="1"/>
    <col min="11" max="11" width="8.00390625" style="0" bestFit="1" customWidth="1"/>
    <col min="12" max="12" width="5.8515625" style="0" customWidth="1"/>
    <col min="13" max="13" width="4.8515625" style="0" customWidth="1"/>
    <col min="14" max="14" width="4.7109375" style="0" customWidth="1"/>
  </cols>
  <sheetData>
    <row r="1" spans="4:13" ht="14.25">
      <c r="D1" s="52" t="s">
        <v>758</v>
      </c>
      <c r="E1" s="52"/>
      <c r="F1" s="52"/>
      <c r="G1" s="52"/>
      <c r="H1" s="52"/>
      <c r="I1" s="52"/>
      <c r="J1" s="52"/>
      <c r="K1" s="52"/>
      <c r="L1" s="52"/>
      <c r="M1" s="52"/>
    </row>
    <row r="2" spans="3:12" ht="12.75">
      <c r="C2" s="5"/>
      <c r="D2" s="52" t="s">
        <v>717</v>
      </c>
      <c r="E2" s="52"/>
      <c r="F2" s="52"/>
      <c r="G2" s="54"/>
      <c r="H2" s="55" t="s">
        <v>761</v>
      </c>
      <c r="I2" s="53"/>
      <c r="J2" s="53"/>
      <c r="K2" s="54"/>
      <c r="L2" t="s">
        <v>762</v>
      </c>
    </row>
    <row r="3" spans="3:13" ht="14.25">
      <c r="C3" s="5" t="s">
        <v>708</v>
      </c>
      <c r="D3" s="36" t="s">
        <v>718</v>
      </c>
      <c r="E3" s="36" t="s">
        <v>719</v>
      </c>
      <c r="F3" s="53" t="s">
        <v>771</v>
      </c>
      <c r="G3" s="54"/>
      <c r="H3" s="40" t="s">
        <v>718</v>
      </c>
      <c r="I3" s="36" t="s">
        <v>719</v>
      </c>
      <c r="J3" s="53" t="s">
        <v>771</v>
      </c>
      <c r="K3" s="54"/>
      <c r="L3" s="39" t="s">
        <v>718</v>
      </c>
      <c r="M3" s="39" t="s">
        <v>719</v>
      </c>
    </row>
    <row r="4" spans="1:13" ht="12.75">
      <c r="A4" s="21"/>
      <c r="B4" s="21"/>
      <c r="C4" s="21"/>
      <c r="D4" s="21"/>
      <c r="E4" s="21"/>
      <c r="F4" s="21" t="s">
        <v>759</v>
      </c>
      <c r="G4" s="27" t="s">
        <v>760</v>
      </c>
      <c r="H4" s="33"/>
      <c r="I4" s="21"/>
      <c r="J4" s="37" t="s">
        <v>759</v>
      </c>
      <c r="K4" s="38" t="s">
        <v>760</v>
      </c>
      <c r="L4" s="21"/>
      <c r="M4" s="21"/>
    </row>
    <row r="5" spans="1:11" ht="12.75">
      <c r="A5" t="s">
        <v>706</v>
      </c>
      <c r="E5" s="25"/>
      <c r="F5" s="25"/>
      <c r="G5" s="26"/>
      <c r="H5" s="41"/>
      <c r="I5" s="25"/>
      <c r="J5" s="25"/>
      <c r="K5" s="26"/>
    </row>
    <row r="6" spans="2:11" ht="12.75">
      <c r="B6" t="s">
        <v>707</v>
      </c>
      <c r="E6" s="25"/>
      <c r="F6" s="25"/>
      <c r="G6" s="26"/>
      <c r="H6" s="41"/>
      <c r="I6" s="25"/>
      <c r="J6" s="25"/>
      <c r="K6" s="26"/>
    </row>
    <row r="7" spans="3:11" ht="38.25">
      <c r="C7" s="18" t="s">
        <v>712</v>
      </c>
      <c r="D7" s="19">
        <v>6</v>
      </c>
      <c r="E7" s="28">
        <v>1</v>
      </c>
      <c r="F7" s="28">
        <v>1</v>
      </c>
      <c r="G7" s="29">
        <v>1</v>
      </c>
      <c r="H7" s="41"/>
      <c r="I7" s="25"/>
      <c r="J7" s="25"/>
      <c r="K7" s="26"/>
    </row>
    <row r="8" spans="5:11" ht="12.75">
      <c r="E8" s="25"/>
      <c r="F8" s="25"/>
      <c r="G8" s="26"/>
      <c r="H8" s="41"/>
      <c r="I8" s="25"/>
      <c r="J8" s="25"/>
      <c r="K8" s="26"/>
    </row>
    <row r="9" spans="2:11" ht="12.75">
      <c r="B9" t="s">
        <v>709</v>
      </c>
      <c r="E9" s="25"/>
      <c r="F9" s="25"/>
      <c r="G9" s="26"/>
      <c r="H9" s="41"/>
      <c r="I9" s="25"/>
      <c r="J9" s="25"/>
      <c r="K9" s="26"/>
    </row>
    <row r="10" spans="3:11" ht="63.75">
      <c r="C10" s="18" t="s">
        <v>722</v>
      </c>
      <c r="D10" s="19">
        <v>4</v>
      </c>
      <c r="E10" s="28">
        <v>1</v>
      </c>
      <c r="F10" s="28">
        <v>1</v>
      </c>
      <c r="G10" s="29">
        <v>2</v>
      </c>
      <c r="H10" s="41"/>
      <c r="I10" s="25"/>
      <c r="J10" s="25"/>
      <c r="K10" s="26"/>
    </row>
    <row r="11" spans="5:11" ht="12.75">
      <c r="E11" s="25"/>
      <c r="F11" s="25"/>
      <c r="G11" s="26"/>
      <c r="H11" s="41"/>
      <c r="I11" s="25"/>
      <c r="J11" s="25"/>
      <c r="K11" s="26"/>
    </row>
    <row r="12" spans="2:11" ht="12.75">
      <c r="B12" t="s">
        <v>710</v>
      </c>
      <c r="E12" s="25"/>
      <c r="F12" s="25"/>
      <c r="G12" s="26"/>
      <c r="H12" s="41"/>
      <c r="I12" s="25"/>
      <c r="J12" s="25"/>
      <c r="K12" s="26"/>
    </row>
    <row r="13" spans="3:11" ht="38.25" customHeight="1">
      <c r="C13" s="18" t="s">
        <v>770</v>
      </c>
      <c r="D13" s="19">
        <v>5</v>
      </c>
      <c r="E13" s="28">
        <v>5</v>
      </c>
      <c r="F13" s="28">
        <v>5</v>
      </c>
      <c r="G13" s="29" t="s">
        <v>768</v>
      </c>
      <c r="H13" s="41"/>
      <c r="I13" s="25"/>
      <c r="J13" s="25"/>
      <c r="K13" s="26"/>
    </row>
    <row r="14" spans="5:11" ht="12.75">
      <c r="E14" s="25"/>
      <c r="F14" s="25"/>
      <c r="G14" s="26"/>
      <c r="H14" s="41"/>
      <c r="I14" s="25"/>
      <c r="J14" s="25"/>
      <c r="K14" s="26"/>
    </row>
    <row r="15" spans="2:11" ht="12.75">
      <c r="B15" t="s">
        <v>711</v>
      </c>
      <c r="G15" s="26"/>
      <c r="H15" s="41"/>
      <c r="K15" s="26"/>
    </row>
    <row r="16" spans="3:11" ht="39.75">
      <c r="C16" s="18" t="s">
        <v>774</v>
      </c>
      <c r="D16" s="19">
        <v>4</v>
      </c>
      <c r="E16" s="28">
        <v>0</v>
      </c>
      <c r="F16" s="28">
        <v>0</v>
      </c>
      <c r="G16" s="29" t="s">
        <v>777</v>
      </c>
      <c r="H16" s="42">
        <v>3</v>
      </c>
      <c r="I16" s="28">
        <v>3</v>
      </c>
      <c r="J16" s="28">
        <v>3</v>
      </c>
      <c r="K16" s="29" t="s">
        <v>769</v>
      </c>
    </row>
    <row r="17" spans="5:11" ht="12.75">
      <c r="E17" s="25"/>
      <c r="F17" s="25"/>
      <c r="G17" s="26"/>
      <c r="H17" s="41"/>
      <c r="I17" s="25"/>
      <c r="J17" s="25"/>
      <c r="K17" s="26"/>
    </row>
    <row r="18" spans="2:11" ht="12.75">
      <c r="B18" t="s">
        <v>720</v>
      </c>
      <c r="E18" s="25"/>
      <c r="F18" s="25"/>
      <c r="G18" s="26"/>
      <c r="H18" s="41"/>
      <c r="I18" s="25"/>
      <c r="J18" s="25"/>
      <c r="K18" s="26"/>
    </row>
    <row r="19" spans="3:11" ht="63.75" customHeight="1">
      <c r="C19" s="18" t="s">
        <v>757</v>
      </c>
      <c r="D19" s="19">
        <v>12</v>
      </c>
      <c r="E19" s="28">
        <v>4</v>
      </c>
      <c r="F19" s="28">
        <v>2</v>
      </c>
      <c r="G19" s="29">
        <v>4</v>
      </c>
      <c r="H19" s="41"/>
      <c r="I19" s="25"/>
      <c r="J19" s="25"/>
      <c r="K19" s="26"/>
    </row>
    <row r="20" spans="5:11" ht="12.75">
      <c r="E20" s="25"/>
      <c r="F20" s="25"/>
      <c r="G20" s="26"/>
      <c r="H20" s="41"/>
      <c r="I20" s="25"/>
      <c r="J20" s="25"/>
      <c r="K20" s="26"/>
    </row>
    <row r="21" spans="2:11" ht="12.75">
      <c r="B21" t="s">
        <v>713</v>
      </c>
      <c r="E21" s="25"/>
      <c r="F21" s="25"/>
      <c r="G21" s="26"/>
      <c r="H21" s="41"/>
      <c r="I21" s="25"/>
      <c r="J21" s="25"/>
      <c r="K21" s="26"/>
    </row>
    <row r="22" spans="3:11" ht="25.5">
      <c r="C22" s="18" t="s">
        <v>714</v>
      </c>
      <c r="D22" s="19">
        <v>20</v>
      </c>
      <c r="E22" s="28">
        <v>4</v>
      </c>
      <c r="F22" s="28">
        <v>4</v>
      </c>
      <c r="G22" s="29">
        <v>6</v>
      </c>
      <c r="H22" s="41"/>
      <c r="I22" s="25"/>
      <c r="J22" s="25"/>
      <c r="K22" s="26"/>
    </row>
    <row r="23" spans="5:11" ht="12.75">
      <c r="E23" s="25"/>
      <c r="F23" s="25"/>
      <c r="G23" s="26"/>
      <c r="H23" s="41"/>
      <c r="I23" s="25"/>
      <c r="J23" s="25"/>
      <c r="K23" s="26"/>
    </row>
    <row r="24" spans="1:11" ht="12.75">
      <c r="A24" t="s">
        <v>715</v>
      </c>
      <c r="E24" s="25"/>
      <c r="F24" s="25"/>
      <c r="G24" s="26"/>
      <c r="H24" s="41"/>
      <c r="I24" s="25"/>
      <c r="J24" s="25"/>
      <c r="K24" s="26"/>
    </row>
    <row r="25" spans="2:11" ht="12.75">
      <c r="B25" t="s">
        <v>716</v>
      </c>
      <c r="E25" s="25"/>
      <c r="F25" s="25"/>
      <c r="G25" s="26"/>
      <c r="H25" s="41"/>
      <c r="I25" s="25"/>
      <c r="J25" s="25"/>
      <c r="K25" s="26"/>
    </row>
    <row r="26" spans="3:11" ht="51">
      <c r="C26" s="18" t="s">
        <v>721</v>
      </c>
      <c r="D26" s="19">
        <v>6</v>
      </c>
      <c r="E26" s="28">
        <v>2</v>
      </c>
      <c r="F26" s="28">
        <v>2</v>
      </c>
      <c r="G26" s="29">
        <v>2</v>
      </c>
      <c r="H26" s="41"/>
      <c r="I26" s="25"/>
      <c r="J26" s="25"/>
      <c r="K26" s="26"/>
    </row>
    <row r="27" spans="5:11" ht="12.75">
      <c r="E27" s="25"/>
      <c r="F27" s="25"/>
      <c r="G27" s="26"/>
      <c r="H27" s="41"/>
      <c r="I27" s="25"/>
      <c r="J27" s="25"/>
      <c r="K27" s="26"/>
    </row>
    <row r="28" spans="2:11" ht="12.75">
      <c r="B28" t="s">
        <v>723</v>
      </c>
      <c r="E28" s="25"/>
      <c r="F28" s="25"/>
      <c r="G28" s="26"/>
      <c r="H28" s="41"/>
      <c r="I28" s="25"/>
      <c r="J28" s="25"/>
      <c r="K28" s="26"/>
    </row>
    <row r="29" spans="3:11" ht="38.25">
      <c r="C29" s="18" t="s">
        <v>724</v>
      </c>
      <c r="D29" s="19">
        <v>40</v>
      </c>
      <c r="E29" s="28">
        <v>10</v>
      </c>
      <c r="F29" s="28">
        <v>10</v>
      </c>
      <c r="G29" s="29">
        <v>20</v>
      </c>
      <c r="H29" s="42">
        <v>4</v>
      </c>
      <c r="I29" s="28">
        <v>1</v>
      </c>
      <c r="J29" s="28">
        <v>1</v>
      </c>
      <c r="K29" s="29">
        <v>2</v>
      </c>
    </row>
    <row r="30" spans="5:11" ht="12.75">
      <c r="E30" s="25"/>
      <c r="F30" s="25"/>
      <c r="G30" s="26"/>
      <c r="H30" s="41"/>
      <c r="I30" s="25"/>
      <c r="J30" s="25"/>
      <c r="K30" s="26"/>
    </row>
    <row r="31" spans="2:11" ht="12.75">
      <c r="B31" t="s">
        <v>725</v>
      </c>
      <c r="E31" s="25"/>
      <c r="F31" s="25"/>
      <c r="G31" s="26"/>
      <c r="H31" s="41"/>
      <c r="I31" s="25"/>
      <c r="J31" s="25"/>
      <c r="K31" s="26"/>
    </row>
    <row r="32" spans="3:11" ht="25.5" customHeight="1">
      <c r="C32" s="44" t="s">
        <v>726</v>
      </c>
      <c r="D32" s="19">
        <v>6</v>
      </c>
      <c r="E32" s="28">
        <v>4</v>
      </c>
      <c r="F32" s="28">
        <v>4</v>
      </c>
      <c r="G32" s="29">
        <v>4</v>
      </c>
      <c r="H32" s="41"/>
      <c r="I32" s="25"/>
      <c r="J32" s="25"/>
      <c r="K32" s="26"/>
    </row>
    <row r="33" spans="5:11" ht="12.75">
      <c r="E33" s="25"/>
      <c r="F33" s="25"/>
      <c r="G33" s="26"/>
      <c r="H33" s="41"/>
      <c r="I33" s="25"/>
      <c r="J33" s="25"/>
      <c r="K33" s="26"/>
    </row>
    <row r="34" spans="2:11" ht="12.75">
      <c r="B34" t="s">
        <v>727</v>
      </c>
      <c r="E34" s="25"/>
      <c r="F34" s="25"/>
      <c r="G34" s="26"/>
      <c r="H34" s="41"/>
      <c r="I34" s="25"/>
      <c r="J34" s="25"/>
      <c r="K34" s="26"/>
    </row>
    <row r="35" spans="3:11" ht="38.25">
      <c r="C35" s="18" t="s">
        <v>728</v>
      </c>
      <c r="D35" s="19">
        <v>30</v>
      </c>
      <c r="E35" s="28">
        <v>10</v>
      </c>
      <c r="F35" s="28">
        <v>10</v>
      </c>
      <c r="G35" s="29">
        <v>20</v>
      </c>
      <c r="H35" s="41"/>
      <c r="I35" s="25"/>
      <c r="J35" s="25"/>
      <c r="K35" s="26"/>
    </row>
    <row r="36" spans="3:11" ht="12.75">
      <c r="C36" s="18"/>
      <c r="E36" s="25"/>
      <c r="F36" s="25"/>
      <c r="G36" s="26"/>
      <c r="H36" s="41"/>
      <c r="I36" s="25"/>
      <c r="J36" s="25"/>
      <c r="K36" s="26"/>
    </row>
    <row r="37" spans="2:11" ht="12.75">
      <c r="B37" t="s">
        <v>729</v>
      </c>
      <c r="C37" s="18"/>
      <c r="E37" s="25"/>
      <c r="F37" s="25"/>
      <c r="G37" s="26"/>
      <c r="H37" s="41"/>
      <c r="I37" s="25"/>
      <c r="J37" s="25"/>
      <c r="K37" s="26"/>
    </row>
    <row r="38" spans="3:11" ht="25.5">
      <c r="C38" s="18" t="s">
        <v>730</v>
      </c>
      <c r="D38" s="19">
        <v>4.5</v>
      </c>
      <c r="E38" s="28">
        <v>3</v>
      </c>
      <c r="F38" s="28">
        <v>3</v>
      </c>
      <c r="G38" s="29">
        <v>3</v>
      </c>
      <c r="H38" s="41"/>
      <c r="I38" s="25"/>
      <c r="J38" s="25"/>
      <c r="K38" s="26"/>
    </row>
    <row r="39" spans="3:11" ht="12.75">
      <c r="C39" s="18"/>
      <c r="E39" s="25"/>
      <c r="F39" s="25"/>
      <c r="G39" s="26"/>
      <c r="H39" s="41"/>
      <c r="I39" s="25"/>
      <c r="J39" s="25"/>
      <c r="K39" s="26"/>
    </row>
    <row r="40" spans="2:11" ht="12.75">
      <c r="B40" t="s">
        <v>731</v>
      </c>
      <c r="C40" s="18"/>
      <c r="E40" s="25"/>
      <c r="F40" s="25"/>
      <c r="G40" s="26"/>
      <c r="H40" s="41"/>
      <c r="I40" s="25"/>
      <c r="J40" s="25"/>
      <c r="K40" s="26"/>
    </row>
    <row r="41" spans="3:11" ht="12.75">
      <c r="C41" s="18" t="s">
        <v>732</v>
      </c>
      <c r="D41" s="19">
        <v>10</v>
      </c>
      <c r="E41" s="28">
        <v>6</v>
      </c>
      <c r="F41" s="28">
        <v>3</v>
      </c>
      <c r="G41" s="29">
        <v>6</v>
      </c>
      <c r="H41" s="41"/>
      <c r="I41" s="25"/>
      <c r="J41" s="25"/>
      <c r="K41" s="26"/>
    </row>
    <row r="42" spans="3:11" ht="12.75">
      <c r="C42" s="18"/>
      <c r="E42" s="25"/>
      <c r="F42" s="25"/>
      <c r="G42" s="26"/>
      <c r="H42" s="41"/>
      <c r="I42" s="25"/>
      <c r="J42" s="25"/>
      <c r="K42" s="26"/>
    </row>
    <row r="43" spans="2:11" ht="12.75">
      <c r="B43" t="s">
        <v>733</v>
      </c>
      <c r="C43" s="18"/>
      <c r="E43" s="25"/>
      <c r="F43" s="25"/>
      <c r="G43" s="26"/>
      <c r="H43" s="41"/>
      <c r="I43" s="25"/>
      <c r="J43" s="25"/>
      <c r="K43" s="26"/>
    </row>
    <row r="44" spans="3:11" ht="38.25" customHeight="1">
      <c r="C44" s="18" t="s">
        <v>764</v>
      </c>
      <c r="D44" s="19">
        <v>40</v>
      </c>
      <c r="E44" s="28">
        <v>30</v>
      </c>
      <c r="F44" s="28">
        <v>20</v>
      </c>
      <c r="G44" s="29">
        <v>30</v>
      </c>
      <c r="H44" s="42"/>
      <c r="I44" s="28"/>
      <c r="J44" s="28"/>
      <c r="K44" s="29"/>
    </row>
    <row r="45" spans="3:11" ht="12.75">
      <c r="C45" s="18"/>
      <c r="E45" s="25"/>
      <c r="F45" s="25"/>
      <c r="G45" s="26"/>
      <c r="H45" s="41"/>
      <c r="I45" s="25"/>
      <c r="J45" s="25"/>
      <c r="K45" s="26"/>
    </row>
    <row r="46" spans="3:11" ht="25.5">
      <c r="C46" s="18" t="s">
        <v>763</v>
      </c>
      <c r="D46" s="19">
        <v>8</v>
      </c>
      <c r="E46" s="28">
        <v>8</v>
      </c>
      <c r="F46" s="28">
        <v>8</v>
      </c>
      <c r="G46" s="29">
        <v>8</v>
      </c>
      <c r="H46" s="42">
        <v>16</v>
      </c>
      <c r="I46" s="32">
        <v>16</v>
      </c>
      <c r="J46" s="32">
        <v>16</v>
      </c>
      <c r="K46" s="29">
        <v>16</v>
      </c>
    </row>
    <row r="47" spans="3:11" ht="12.75">
      <c r="C47" s="18"/>
      <c r="E47" s="25"/>
      <c r="F47" s="25"/>
      <c r="G47" s="26"/>
      <c r="H47" s="41"/>
      <c r="I47" s="25"/>
      <c r="J47" s="25"/>
      <c r="K47" s="26"/>
    </row>
    <row r="48" spans="2:11" ht="12.75">
      <c r="B48" t="s">
        <v>734</v>
      </c>
      <c r="C48" s="18"/>
      <c r="E48" s="25"/>
      <c r="F48" s="25"/>
      <c r="G48" s="26"/>
      <c r="H48" s="41"/>
      <c r="I48" s="25"/>
      <c r="J48" s="25"/>
      <c r="K48" s="26"/>
    </row>
    <row r="49" spans="3:11" ht="51" customHeight="1">
      <c r="C49" s="18" t="s">
        <v>737</v>
      </c>
      <c r="D49" s="19">
        <v>15</v>
      </c>
      <c r="E49" s="28">
        <v>12</v>
      </c>
      <c r="F49" s="28">
        <v>12</v>
      </c>
      <c r="G49" s="29">
        <v>12</v>
      </c>
      <c r="H49" s="41"/>
      <c r="I49" s="25"/>
      <c r="J49" s="25"/>
      <c r="K49" s="26"/>
    </row>
    <row r="50" spans="3:11" ht="12.75">
      <c r="C50" s="18"/>
      <c r="E50" s="25"/>
      <c r="F50" s="25"/>
      <c r="G50" s="26"/>
      <c r="H50" s="41"/>
      <c r="I50" s="25"/>
      <c r="J50" s="25"/>
      <c r="K50" s="26"/>
    </row>
    <row r="51" spans="2:11" ht="12.75">
      <c r="B51" t="s">
        <v>738</v>
      </c>
      <c r="C51" s="18"/>
      <c r="E51" s="25"/>
      <c r="F51" s="25"/>
      <c r="G51" s="26"/>
      <c r="H51" s="41"/>
      <c r="I51" s="25"/>
      <c r="J51" s="25"/>
      <c r="K51" s="26"/>
    </row>
    <row r="52" spans="3:11" ht="38.25">
      <c r="C52" s="18" t="s">
        <v>739</v>
      </c>
      <c r="D52" s="19">
        <v>40</v>
      </c>
      <c r="E52" s="28">
        <v>28</v>
      </c>
      <c r="F52" s="28">
        <v>8</v>
      </c>
      <c r="G52" s="29">
        <v>8</v>
      </c>
      <c r="H52" s="42">
        <v>10</v>
      </c>
      <c r="I52" s="28">
        <v>7</v>
      </c>
      <c r="J52" s="28">
        <v>4</v>
      </c>
      <c r="K52" s="29">
        <v>4</v>
      </c>
    </row>
    <row r="53" spans="3:11" ht="12.75">
      <c r="C53" s="18"/>
      <c r="E53" s="25"/>
      <c r="F53" s="25"/>
      <c r="G53" s="26"/>
      <c r="H53" s="41"/>
      <c r="I53" s="25"/>
      <c r="J53" s="25"/>
      <c r="K53" s="26"/>
    </row>
    <row r="54" spans="3:11" ht="38.25" customHeight="1">
      <c r="C54" s="18" t="s">
        <v>740</v>
      </c>
      <c r="D54" s="19">
        <v>20</v>
      </c>
      <c r="E54" s="28">
        <v>20</v>
      </c>
      <c r="F54" s="28"/>
      <c r="G54" s="29"/>
      <c r="H54" s="42">
        <v>20</v>
      </c>
      <c r="I54" s="28">
        <v>20</v>
      </c>
      <c r="J54" s="28"/>
      <c r="K54" s="29"/>
    </row>
    <row r="55" spans="3:11" ht="12.75">
      <c r="C55" s="18"/>
      <c r="D55" s="19"/>
      <c r="E55" s="28"/>
      <c r="F55" s="28"/>
      <c r="G55" s="29"/>
      <c r="H55" s="42"/>
      <c r="I55" s="28"/>
      <c r="J55" s="28"/>
      <c r="K55" s="29"/>
    </row>
    <row r="56" spans="1:11" ht="12.75">
      <c r="A56" t="s">
        <v>823</v>
      </c>
      <c r="C56" s="18"/>
      <c r="D56" s="19"/>
      <c r="E56" s="28"/>
      <c r="F56" s="28"/>
      <c r="G56" s="29"/>
      <c r="H56" s="42"/>
      <c r="I56" s="28"/>
      <c r="J56" s="28"/>
      <c r="K56" s="29"/>
    </row>
    <row r="57" spans="2:11" ht="14.25">
      <c r="B57" t="s">
        <v>824</v>
      </c>
      <c r="C57" s="18"/>
      <c r="D57" s="19"/>
      <c r="E57" s="28"/>
      <c r="F57" s="28"/>
      <c r="G57" s="29"/>
      <c r="H57" s="42" t="s">
        <v>840</v>
      </c>
      <c r="I57" s="28">
        <v>32</v>
      </c>
      <c r="J57" s="28">
        <v>1</v>
      </c>
      <c r="K57" s="29" t="s">
        <v>816</v>
      </c>
    </row>
    <row r="58" spans="2:11" ht="14.25">
      <c r="B58" t="s">
        <v>819</v>
      </c>
      <c r="C58" s="18"/>
      <c r="D58" s="19"/>
      <c r="E58" s="28"/>
      <c r="F58" s="28"/>
      <c r="G58" s="29"/>
      <c r="H58" s="42">
        <v>32</v>
      </c>
      <c r="I58" s="28">
        <v>4</v>
      </c>
      <c r="J58" s="28">
        <v>3.2</v>
      </c>
      <c r="K58" s="29" t="s">
        <v>820</v>
      </c>
    </row>
    <row r="59" spans="2:11" ht="14.25">
      <c r="B59" t="s">
        <v>822</v>
      </c>
      <c r="C59" s="18"/>
      <c r="D59" s="19"/>
      <c r="E59" s="28"/>
      <c r="F59" s="28"/>
      <c r="G59" s="29"/>
      <c r="H59" s="42" t="s">
        <v>825</v>
      </c>
      <c r="I59" s="28" t="s">
        <v>826</v>
      </c>
      <c r="J59" s="28"/>
      <c r="K59" s="29"/>
    </row>
    <row r="60" spans="3:11" ht="12.75">
      <c r="C60" s="18"/>
      <c r="D60" s="19"/>
      <c r="E60" s="28"/>
      <c r="F60" s="28"/>
      <c r="G60" s="29"/>
      <c r="H60" s="42"/>
      <c r="I60" s="28"/>
      <c r="J60" s="28"/>
      <c r="K60" s="29"/>
    </row>
    <row r="61" spans="1:11" ht="12.75">
      <c r="A61" t="s">
        <v>747</v>
      </c>
      <c r="C61" s="18"/>
      <c r="D61" s="19"/>
      <c r="E61" s="28"/>
      <c r="F61" s="28"/>
      <c r="G61" s="29"/>
      <c r="H61" s="42"/>
      <c r="I61" s="28"/>
      <c r="J61" s="28"/>
      <c r="K61" s="29"/>
    </row>
    <row r="62" spans="2:11" ht="12.75">
      <c r="B62" t="s">
        <v>748</v>
      </c>
      <c r="C62" s="18"/>
      <c r="D62" s="19">
        <v>3</v>
      </c>
      <c r="E62" s="28">
        <v>1</v>
      </c>
      <c r="F62" s="28">
        <v>2</v>
      </c>
      <c r="G62" s="29">
        <v>2</v>
      </c>
      <c r="H62" s="42"/>
      <c r="I62" s="28"/>
      <c r="J62" s="28"/>
      <c r="K62" s="29"/>
    </row>
    <row r="63" spans="1:13" ht="12.75">
      <c r="A63" s="22"/>
      <c r="B63" s="22" t="s">
        <v>749</v>
      </c>
      <c r="C63" s="23"/>
      <c r="D63" s="24">
        <v>15.2</v>
      </c>
      <c r="E63" s="30">
        <v>12.8</v>
      </c>
      <c r="F63" s="30"/>
      <c r="G63" s="31"/>
      <c r="H63" s="43"/>
      <c r="I63" s="30"/>
      <c r="J63" s="30"/>
      <c r="K63" s="31"/>
      <c r="L63" s="22"/>
      <c r="M63" s="22"/>
    </row>
    <row r="64" spans="2:13" ht="12.75">
      <c r="B64" t="s">
        <v>750</v>
      </c>
      <c r="C64" s="18"/>
      <c r="D64" s="19">
        <v>3.68</v>
      </c>
      <c r="E64" s="28">
        <v>2.72</v>
      </c>
      <c r="F64" s="28"/>
      <c r="G64" s="29"/>
      <c r="H64" s="42">
        <v>7.36</v>
      </c>
      <c r="I64" s="28">
        <v>5.44</v>
      </c>
      <c r="J64" s="28"/>
      <c r="K64" s="29"/>
      <c r="L64" s="32">
        <v>11.04</v>
      </c>
      <c r="M64" s="32">
        <v>8.16</v>
      </c>
    </row>
    <row r="65" spans="1:13" ht="12.75">
      <c r="A65" s="22"/>
      <c r="B65" s="22" t="s">
        <v>751</v>
      </c>
      <c r="C65" s="23"/>
      <c r="D65" s="24"/>
      <c r="E65" s="30"/>
      <c r="F65" s="30">
        <v>10</v>
      </c>
      <c r="G65" s="31">
        <v>10</v>
      </c>
      <c r="H65" s="43"/>
      <c r="I65" s="30"/>
      <c r="J65" s="30"/>
      <c r="K65" s="31"/>
      <c r="L65" s="22">
        <v>80</v>
      </c>
      <c r="M65" s="22">
        <v>50</v>
      </c>
    </row>
    <row r="66" spans="2:11" ht="12.75">
      <c r="B66" t="s">
        <v>752</v>
      </c>
      <c r="C66" s="18"/>
      <c r="D66" s="19">
        <v>6</v>
      </c>
      <c r="E66" s="28">
        <v>2</v>
      </c>
      <c r="F66" s="28" t="s">
        <v>775</v>
      </c>
      <c r="G66" s="29" t="s">
        <v>775</v>
      </c>
      <c r="H66" s="42">
        <v>3</v>
      </c>
      <c r="I66" s="28">
        <v>2</v>
      </c>
      <c r="J66" s="28"/>
      <c r="K66" s="29"/>
    </row>
    <row r="67" spans="1:13" ht="12.75">
      <c r="A67" s="22"/>
      <c r="B67" s="22" t="s">
        <v>755</v>
      </c>
      <c r="C67" s="23"/>
      <c r="D67" s="24"/>
      <c r="E67" s="30"/>
      <c r="F67" s="30">
        <v>5</v>
      </c>
      <c r="G67" s="31">
        <v>5</v>
      </c>
      <c r="H67" s="43"/>
      <c r="I67" s="30"/>
      <c r="J67" s="30"/>
      <c r="K67" s="31"/>
      <c r="L67" s="22">
        <v>20</v>
      </c>
      <c r="M67" s="22">
        <v>5</v>
      </c>
    </row>
    <row r="68" spans="2:11" ht="12.75">
      <c r="B68" t="s">
        <v>753</v>
      </c>
      <c r="C68" s="18"/>
      <c r="D68" s="19">
        <v>3.68</v>
      </c>
      <c r="E68" s="28"/>
      <c r="F68" s="28"/>
      <c r="G68" s="29"/>
      <c r="H68" s="42">
        <v>2.72</v>
      </c>
      <c r="I68" s="28"/>
      <c r="J68" s="28"/>
      <c r="K68" s="29"/>
    </row>
    <row r="69" spans="1:13" ht="12.75">
      <c r="A69" s="22"/>
      <c r="B69" s="22" t="s">
        <v>754</v>
      </c>
      <c r="C69" s="23"/>
      <c r="D69" s="24">
        <v>7.52</v>
      </c>
      <c r="E69" s="30">
        <v>6.08</v>
      </c>
      <c r="F69" s="30">
        <v>3</v>
      </c>
      <c r="G69" s="31">
        <v>3</v>
      </c>
      <c r="H69" s="43">
        <v>7.52</v>
      </c>
      <c r="I69" s="30">
        <v>8.08</v>
      </c>
      <c r="J69" s="30">
        <v>4</v>
      </c>
      <c r="K69" s="31">
        <v>4</v>
      </c>
      <c r="L69" s="30">
        <v>5.64</v>
      </c>
      <c r="M69" s="30">
        <v>4.56</v>
      </c>
    </row>
    <row r="70" spans="3:11" ht="12.75">
      <c r="C70" s="18"/>
      <c r="D70" s="19"/>
      <c r="E70" s="28"/>
      <c r="F70" s="28"/>
      <c r="G70" s="29"/>
      <c r="H70" s="42"/>
      <c r="I70" s="28"/>
      <c r="J70" s="28"/>
      <c r="K70" s="29"/>
    </row>
    <row r="71" spans="1:11" ht="12.75">
      <c r="A71" t="s">
        <v>741</v>
      </c>
      <c r="C71" s="18"/>
      <c r="D71" s="19"/>
      <c r="E71" s="28"/>
      <c r="F71" s="28"/>
      <c r="G71" s="29"/>
      <c r="H71" s="42"/>
      <c r="I71" s="28"/>
      <c r="J71" s="28"/>
      <c r="K71" s="29"/>
    </row>
    <row r="72" spans="2:11" ht="12.75">
      <c r="B72" t="s">
        <v>743</v>
      </c>
      <c r="C72" s="18"/>
      <c r="D72" s="19"/>
      <c r="E72" s="28"/>
      <c r="F72" s="28"/>
      <c r="G72" s="29"/>
      <c r="H72" s="42"/>
      <c r="I72" s="28">
        <v>0.05</v>
      </c>
      <c r="J72" s="28">
        <v>0.25</v>
      </c>
      <c r="K72" s="29">
        <v>0.25</v>
      </c>
    </row>
    <row r="73" spans="1:11" ht="14.25">
      <c r="A73" s="22"/>
      <c r="B73" s="22" t="s">
        <v>827</v>
      </c>
      <c r="C73" s="23"/>
      <c r="D73" s="24"/>
      <c r="E73" s="30"/>
      <c r="F73" s="30"/>
      <c r="G73" s="31"/>
      <c r="H73" s="43">
        <v>0.5</v>
      </c>
      <c r="I73" s="30"/>
      <c r="J73" s="30"/>
      <c r="K73" s="31"/>
    </row>
    <row r="74" spans="2:11" ht="12.75">
      <c r="B74" t="s">
        <v>744</v>
      </c>
      <c r="C74" s="18"/>
      <c r="D74" s="19"/>
      <c r="E74" s="28"/>
      <c r="F74" s="28"/>
      <c r="G74" s="29"/>
      <c r="H74" s="42"/>
      <c r="I74" s="28">
        <v>0.25</v>
      </c>
      <c r="J74" s="28"/>
      <c r="K74" s="29"/>
    </row>
    <row r="75" spans="1:11" ht="14.25">
      <c r="A75" s="22"/>
      <c r="B75" s="22" t="s">
        <v>828</v>
      </c>
      <c r="C75" s="23"/>
      <c r="D75" s="24"/>
      <c r="E75" s="30"/>
      <c r="F75" s="30"/>
      <c r="G75" s="31"/>
      <c r="H75" s="43">
        <v>2</v>
      </c>
      <c r="I75" s="30"/>
      <c r="J75" s="30"/>
      <c r="K75" s="31"/>
    </row>
    <row r="76" spans="2:11" ht="14.25">
      <c r="B76" t="s">
        <v>829</v>
      </c>
      <c r="C76" s="18"/>
      <c r="D76" s="19"/>
      <c r="E76" s="28"/>
      <c r="F76" s="28"/>
      <c r="G76" s="29"/>
      <c r="H76" s="42"/>
      <c r="I76" s="28">
        <v>2</v>
      </c>
      <c r="J76" s="28">
        <v>1.5</v>
      </c>
      <c r="K76" s="29">
        <v>1.5</v>
      </c>
    </row>
    <row r="77" spans="1:11" ht="14.25">
      <c r="A77" s="22"/>
      <c r="B77" s="22" t="s">
        <v>830</v>
      </c>
      <c r="C77" s="23"/>
      <c r="D77" s="24"/>
      <c r="E77" s="30"/>
      <c r="F77" s="30"/>
      <c r="G77" s="31"/>
      <c r="H77" s="43">
        <v>5</v>
      </c>
      <c r="I77" s="30"/>
      <c r="J77" s="30"/>
      <c r="K77" s="31"/>
    </row>
    <row r="78" spans="2:11" ht="12.75">
      <c r="B78" t="s">
        <v>745</v>
      </c>
      <c r="C78" s="18"/>
      <c r="D78" s="19"/>
      <c r="E78" s="28"/>
      <c r="F78" s="28"/>
      <c r="G78" s="29"/>
      <c r="H78" s="42"/>
      <c r="I78" s="28" t="s">
        <v>785</v>
      </c>
      <c r="J78" s="28"/>
      <c r="K78" s="29"/>
    </row>
    <row r="79" spans="1:11" ht="12.75">
      <c r="A79" s="22"/>
      <c r="B79" s="22" t="s">
        <v>742</v>
      </c>
      <c r="C79" s="23"/>
      <c r="D79" s="24"/>
      <c r="E79" s="30"/>
      <c r="F79" s="30"/>
      <c r="G79" s="31"/>
      <c r="H79" s="43"/>
      <c r="I79" s="30"/>
      <c r="J79" s="30"/>
      <c r="K79" s="31"/>
    </row>
    <row r="80" spans="1:11" ht="12.75">
      <c r="A80" s="45"/>
      <c r="B80" s="45"/>
      <c r="C80" s="46"/>
      <c r="D80" s="47"/>
      <c r="E80" s="32"/>
      <c r="F80" s="32"/>
      <c r="G80" s="48"/>
      <c r="H80" s="49"/>
      <c r="I80" s="32"/>
      <c r="J80" s="32"/>
      <c r="K80" s="48"/>
    </row>
    <row r="81" spans="1:11" ht="12.75">
      <c r="A81" s="45" t="s">
        <v>778</v>
      </c>
      <c r="B81" s="45"/>
      <c r="C81" s="46"/>
      <c r="D81" s="47"/>
      <c r="E81" s="32"/>
      <c r="F81" s="32"/>
      <c r="G81" s="48"/>
      <c r="H81" s="49"/>
      <c r="I81" s="32"/>
      <c r="J81" s="32"/>
      <c r="K81" s="48"/>
    </row>
    <row r="82" spans="1:11" ht="12.75">
      <c r="A82" s="45"/>
      <c r="B82" s="45" t="s">
        <v>784</v>
      </c>
      <c r="C82" s="46"/>
      <c r="D82" s="47"/>
      <c r="E82" s="32"/>
      <c r="F82" s="32"/>
      <c r="G82" s="48"/>
      <c r="H82" s="49">
        <v>0.25</v>
      </c>
      <c r="I82" s="32">
        <v>0.5</v>
      </c>
      <c r="J82" s="32"/>
      <c r="K82" s="48"/>
    </row>
    <row r="83" spans="1:11" ht="14.25">
      <c r="A83" s="22"/>
      <c r="B83" s="22" t="s">
        <v>831</v>
      </c>
      <c r="C83" s="23"/>
      <c r="D83" s="24">
        <v>1</v>
      </c>
      <c r="E83" s="30">
        <v>0.25</v>
      </c>
      <c r="F83" s="30"/>
      <c r="G83" s="31"/>
      <c r="H83" s="43">
        <v>4</v>
      </c>
      <c r="I83" s="30">
        <v>1</v>
      </c>
      <c r="J83" s="30">
        <v>0.25</v>
      </c>
      <c r="K83" s="31">
        <v>0.25</v>
      </c>
    </row>
    <row r="84" spans="1:11" ht="12.75">
      <c r="A84" s="45"/>
      <c r="B84" s="45" t="s">
        <v>786</v>
      </c>
      <c r="C84" s="46"/>
      <c r="D84" s="47">
        <v>1</v>
      </c>
      <c r="E84" s="32">
        <v>0.5</v>
      </c>
      <c r="F84" s="32"/>
      <c r="G84" s="48"/>
      <c r="H84" s="49">
        <v>4</v>
      </c>
      <c r="I84" s="32">
        <v>2</v>
      </c>
      <c r="J84" s="32"/>
      <c r="K84" s="48"/>
    </row>
    <row r="85" spans="1:11" ht="12.75">
      <c r="A85" s="22"/>
      <c r="B85" s="22" t="s">
        <v>787</v>
      </c>
      <c r="C85" s="23"/>
      <c r="D85" s="24"/>
      <c r="E85" s="30"/>
      <c r="F85" s="30">
        <v>0.5</v>
      </c>
      <c r="G85" s="31">
        <v>0.5</v>
      </c>
      <c r="H85" s="43"/>
      <c r="I85" s="30"/>
      <c r="J85" s="30">
        <v>1</v>
      </c>
      <c r="K85" s="31">
        <v>1</v>
      </c>
    </row>
    <row r="86" spans="1:11" ht="12.75">
      <c r="A86" s="45"/>
      <c r="B86" s="45"/>
      <c r="C86" s="46"/>
      <c r="D86" s="47"/>
      <c r="E86" s="32"/>
      <c r="F86" s="32"/>
      <c r="G86" s="48"/>
      <c r="H86" s="49"/>
      <c r="I86" s="32"/>
      <c r="J86" s="32"/>
      <c r="K86" s="48"/>
    </row>
    <row r="87" spans="1:11" ht="12.75">
      <c r="A87" s="45" t="s">
        <v>779</v>
      </c>
      <c r="B87" s="45"/>
      <c r="C87" s="46"/>
      <c r="D87" s="47"/>
      <c r="E87" s="32"/>
      <c r="F87" s="32"/>
      <c r="G87" s="48"/>
      <c r="H87" s="49"/>
      <c r="I87" s="32"/>
      <c r="J87" s="32"/>
      <c r="K87" s="48"/>
    </row>
    <row r="88" spans="1:11" ht="12.75">
      <c r="A88" s="45"/>
      <c r="B88" s="45" t="s">
        <v>780</v>
      </c>
      <c r="C88" s="46"/>
      <c r="D88" s="47">
        <v>5</v>
      </c>
      <c r="E88" s="32">
        <v>2</v>
      </c>
      <c r="F88" s="32"/>
      <c r="G88" s="48"/>
      <c r="H88" s="49">
        <v>16</v>
      </c>
      <c r="I88" s="32">
        <v>4</v>
      </c>
      <c r="J88" s="32"/>
      <c r="K88" s="48"/>
    </row>
    <row r="89" spans="1:11" ht="12.75">
      <c r="A89" s="22"/>
      <c r="B89" s="22" t="s">
        <v>781</v>
      </c>
      <c r="C89" s="23"/>
      <c r="D89" s="24">
        <v>15</v>
      </c>
      <c r="E89" s="30">
        <v>5</v>
      </c>
      <c r="F89" s="30">
        <v>2</v>
      </c>
      <c r="G89" s="31">
        <v>2</v>
      </c>
      <c r="H89" s="43"/>
      <c r="I89" s="30"/>
      <c r="J89" s="30"/>
      <c r="K89" s="31"/>
    </row>
    <row r="90" spans="1:11" ht="12.75">
      <c r="A90" s="45"/>
      <c r="B90" s="45" t="s">
        <v>782</v>
      </c>
      <c r="C90" s="46"/>
      <c r="D90" s="47"/>
      <c r="E90" s="32"/>
      <c r="F90" s="32"/>
      <c r="G90" s="48"/>
      <c r="H90" s="49">
        <v>16</v>
      </c>
      <c r="I90" s="32">
        <v>4</v>
      </c>
      <c r="J90" s="32">
        <v>2</v>
      </c>
      <c r="K90" s="48">
        <v>2</v>
      </c>
    </row>
    <row r="91" spans="1:11" ht="12.75">
      <c r="A91" s="22"/>
      <c r="B91" s="22" t="s">
        <v>783</v>
      </c>
      <c r="C91" s="23"/>
      <c r="D91" s="24"/>
      <c r="E91" s="30"/>
      <c r="F91" s="30"/>
      <c r="G91" s="31"/>
      <c r="H91" s="43">
        <v>18</v>
      </c>
      <c r="I91" s="30">
        <v>14</v>
      </c>
      <c r="J91" s="30">
        <v>8</v>
      </c>
      <c r="K91" s="31">
        <v>8</v>
      </c>
    </row>
    <row r="92" spans="1:11" ht="12.75">
      <c r="A92" s="45"/>
      <c r="B92" s="45"/>
      <c r="C92" s="46"/>
      <c r="D92" s="47"/>
      <c r="E92" s="32"/>
      <c r="F92" s="32"/>
      <c r="G92" s="48"/>
      <c r="H92" s="49"/>
      <c r="I92" s="32"/>
      <c r="J92" s="32"/>
      <c r="K92" s="48"/>
    </row>
    <row r="93" spans="1:13" ht="12.75">
      <c r="A93" s="21"/>
      <c r="B93" s="21"/>
      <c r="C93" s="21"/>
      <c r="D93" s="21"/>
      <c r="E93" s="21"/>
      <c r="F93" s="21"/>
      <c r="G93" s="27"/>
      <c r="H93" s="33"/>
      <c r="I93" s="21"/>
      <c r="J93" s="21"/>
      <c r="K93" s="27"/>
      <c r="L93" s="21"/>
      <c r="M93" s="21"/>
    </row>
    <row r="94" spans="1:7" ht="68.25" customHeight="1">
      <c r="A94" s="51" t="s">
        <v>815</v>
      </c>
      <c r="B94" s="51"/>
      <c r="C94" s="51"/>
      <c r="D94" s="51"/>
      <c r="E94" s="51"/>
      <c r="F94" s="51"/>
      <c r="G94" s="35"/>
    </row>
    <row r="95" ht="14.25">
      <c r="A95" s="20" t="s">
        <v>772</v>
      </c>
    </row>
    <row r="96" ht="14.25">
      <c r="A96" s="20" t="s">
        <v>773</v>
      </c>
    </row>
    <row r="97" ht="14.25">
      <c r="A97" s="20" t="s">
        <v>776</v>
      </c>
    </row>
    <row r="98" ht="14.25">
      <c r="A98" s="20" t="s">
        <v>817</v>
      </c>
    </row>
    <row r="99" ht="14.25">
      <c r="A99" s="20" t="s">
        <v>818</v>
      </c>
    </row>
    <row r="100" ht="14.25">
      <c r="A100" s="20" t="s">
        <v>821</v>
      </c>
    </row>
    <row r="101" ht="14.25">
      <c r="A101" s="20" t="s">
        <v>837</v>
      </c>
    </row>
    <row r="102" ht="14.25">
      <c r="A102" s="20" t="s">
        <v>838</v>
      </c>
    </row>
    <row r="103" ht="14.25">
      <c r="A103" s="20" t="s">
        <v>832</v>
      </c>
    </row>
    <row r="104" ht="14.25">
      <c r="A104" s="20" t="s">
        <v>833</v>
      </c>
    </row>
    <row r="105" ht="14.25">
      <c r="A105" s="20" t="s">
        <v>834</v>
      </c>
    </row>
    <row r="106" ht="14.25">
      <c r="A106" s="20" t="s">
        <v>835</v>
      </c>
    </row>
    <row r="107" ht="14.25">
      <c r="A107" s="20" t="s">
        <v>836</v>
      </c>
    </row>
    <row r="111" ht="14.25" customHeight="1">
      <c r="C111" s="34"/>
    </row>
  </sheetData>
  <sheetProtection sheet="1" objects="1" scenarios="1"/>
  <mergeCells count="6">
    <mergeCell ref="A94:F94"/>
    <mergeCell ref="D1:M1"/>
    <mergeCell ref="F3:G3"/>
    <mergeCell ref="D2:G2"/>
    <mergeCell ref="J3:K3"/>
    <mergeCell ref="H2:K2"/>
  </mergeCells>
  <printOptions/>
  <pageMargins left="0.75" right="0.75" top="1" bottom="1" header="0.5" footer="0.5"/>
  <pageSetup fitToHeight="5"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sheetPr codeName="Sheet5"/>
  <dimension ref="A1:E47"/>
  <sheetViews>
    <sheetView zoomScalePageLayoutView="0" workbookViewId="0" topLeftCell="A1">
      <selection activeCell="A4" sqref="A4"/>
    </sheetView>
  </sheetViews>
  <sheetFormatPr defaultColWidth="9.140625" defaultRowHeight="12.75"/>
  <cols>
    <col min="1" max="1" width="37.421875" style="0" customWidth="1"/>
    <col min="4" max="4" width="9.57421875" style="0" customWidth="1"/>
    <col min="5" max="5" width="9.7109375" style="0" customWidth="1"/>
  </cols>
  <sheetData>
    <row r="1" ht="12.75">
      <c r="A1" t="s">
        <v>680</v>
      </c>
    </row>
    <row r="3" spans="1:4" ht="12.75">
      <c r="A3" s="2" t="str">
        <f>Start!A14</f>
        <v>Analyzers</v>
      </c>
      <c r="C3" s="3" t="str">
        <f>Start!C14</f>
        <v>BEFORE</v>
      </c>
      <c r="D3" s="3" t="str">
        <f>Start!D14</f>
        <v>AFTER</v>
      </c>
    </row>
    <row r="4" spans="1:4" ht="12.75">
      <c r="A4" t="str">
        <f>Start!A15</f>
        <v>   CO</v>
      </c>
      <c r="C4" s="16">
        <f>Start!C15</f>
        <v>0</v>
      </c>
      <c r="D4" s="16">
        <f>Start!D15</f>
        <v>0</v>
      </c>
    </row>
    <row r="5" spans="1:4" ht="12.75">
      <c r="A5" t="str">
        <f>Start!A16</f>
        <v>   SO2</v>
      </c>
      <c r="C5" s="16">
        <f>Start!C16</f>
        <v>0</v>
      </c>
      <c r="D5" s="16">
        <f>Start!D16</f>
        <v>0</v>
      </c>
    </row>
    <row r="6" spans="1:4" ht="12.75">
      <c r="A6" t="str">
        <f>Start!A17</f>
        <v>   NOX</v>
      </c>
      <c r="C6" s="16">
        <f>Start!C17</f>
        <v>0</v>
      </c>
      <c r="D6" s="16">
        <f>Start!D17</f>
        <v>0</v>
      </c>
    </row>
    <row r="7" spans="1:4" ht="12.75">
      <c r="A7" t="str">
        <f>Start!A18</f>
        <v>   HCl</v>
      </c>
      <c r="C7" s="16">
        <f>Start!C18</f>
        <v>0</v>
      </c>
      <c r="D7" s="16">
        <f>Start!D18</f>
        <v>0</v>
      </c>
    </row>
    <row r="8" spans="1:4" ht="12.75">
      <c r="A8" t="str">
        <f>Start!A19</f>
        <v>   Mercury (and CO2/O2)</v>
      </c>
      <c r="C8" s="16">
        <f>Start!C19</f>
        <v>0</v>
      </c>
      <c r="D8" s="16">
        <f>Start!D19</f>
        <v>0</v>
      </c>
    </row>
    <row r="9" spans="1:4" ht="12.75">
      <c r="A9" t="str">
        <f>Start!A20</f>
        <v>   CO2</v>
      </c>
      <c r="C9" s="16">
        <f>Start!C20</f>
        <v>0</v>
      </c>
      <c r="D9" s="16">
        <f>Start!D20</f>
        <v>0</v>
      </c>
    </row>
    <row r="10" spans="1:4" ht="12.75">
      <c r="A10" t="str">
        <f>Start!A21</f>
        <v>   O2</v>
      </c>
      <c r="C10" s="16">
        <f>Start!C21</f>
        <v>0</v>
      </c>
      <c r="D10" s="16">
        <f>Start!D21</f>
        <v>0</v>
      </c>
    </row>
    <row r="11" spans="1:4" ht="12.75">
      <c r="A11" t="str">
        <f>Start!A22</f>
        <v>   THC</v>
      </c>
      <c r="C11" s="16">
        <f>Start!C22</f>
        <v>0</v>
      </c>
      <c r="D11" s="16">
        <f>Start!D22</f>
        <v>0</v>
      </c>
    </row>
    <row r="13" ht="12.75">
      <c r="A13" s="2" t="str">
        <f>Start!A24</f>
        <v>Monitors</v>
      </c>
    </row>
    <row r="14" spans="1:4" ht="12.75">
      <c r="A14" t="str">
        <f>Start!A25</f>
        <v>   OPACITY</v>
      </c>
      <c r="C14">
        <f>Start!C25</f>
        <v>0</v>
      </c>
      <c r="D14" s="16">
        <f>Start!D25</f>
        <v>0</v>
      </c>
    </row>
    <row r="15" spans="1:4" ht="12.75">
      <c r="A15" t="str">
        <f>Start!A26</f>
        <v>   FLOW</v>
      </c>
      <c r="C15">
        <f>Start!C26</f>
        <v>0</v>
      </c>
      <c r="D15" s="16">
        <f>Start!D26</f>
        <v>0</v>
      </c>
    </row>
    <row r="16" spans="1:4" ht="12.75">
      <c r="A16" t="str">
        <f>Start!A27</f>
        <v>   PM (beta gauge)</v>
      </c>
      <c r="C16">
        <f>Start!C27</f>
        <v>0</v>
      </c>
      <c r="D16" s="16">
        <f>Start!D27</f>
        <v>0</v>
      </c>
    </row>
    <row r="17" spans="1:4" ht="12.75">
      <c r="A17" t="str">
        <f>Start!A28</f>
        <v>   PM (light scattering; insitu)</v>
      </c>
      <c r="C17">
        <f>Start!C28</f>
        <v>0</v>
      </c>
      <c r="D17" s="16">
        <f>Start!D28</f>
        <v>0</v>
      </c>
    </row>
    <row r="18" spans="1:4" ht="12.75">
      <c r="A18" t="str">
        <f>Start!A29</f>
        <v>   PM (light scattering; extractive)</v>
      </c>
      <c r="C18">
        <f>Start!C29</f>
        <v>0</v>
      </c>
      <c r="D18" s="16">
        <f>Start!D29</f>
        <v>0</v>
      </c>
    </row>
    <row r="20" ht="12.75">
      <c r="A20" s="11" t="str">
        <f>Start!A31</f>
        <v>Bag leak detector</v>
      </c>
    </row>
    <row r="21" spans="1:4" ht="12.75">
      <c r="A21" t="str">
        <f>Start!A32</f>
        <v>   Number of fabric filters to be monitored=</v>
      </c>
      <c r="C21">
        <f>Start!C32</f>
        <v>0</v>
      </c>
      <c r="D21" s="16">
        <f>Start!D32</f>
        <v>0</v>
      </c>
    </row>
    <row r="22" spans="1:4" ht="12.75">
      <c r="A22" t="str">
        <f>Start!A33</f>
        <v>   Number of sensors=</v>
      </c>
      <c r="C22">
        <f>Start!C33</f>
        <v>0</v>
      </c>
      <c r="D22" s="16">
        <f>Start!D33</f>
        <v>0</v>
      </c>
    </row>
    <row r="24" ht="12.75">
      <c r="A24" t="s">
        <v>679</v>
      </c>
    </row>
    <row r="26" spans="1:5" ht="12.75">
      <c r="A26" t="str">
        <f>Costs!A163</f>
        <v>First Costs</v>
      </c>
      <c r="B26" s="5" t="str">
        <f>Costs!B163</f>
        <v>Labor</v>
      </c>
      <c r="C26" s="5" t="str">
        <f>Costs!C163</f>
        <v>Test</v>
      </c>
      <c r="D26" s="5" t="str">
        <f>Costs!D163</f>
        <v>ODCs</v>
      </c>
      <c r="E26" s="3" t="str">
        <f>Costs!E163</f>
        <v>Total</v>
      </c>
    </row>
    <row r="27" spans="1:5" ht="12.75">
      <c r="A27" t="str">
        <f>Costs!A164</f>
        <v>    Planning</v>
      </c>
      <c r="B27" s="1">
        <f>Costs!B164</f>
        <v>0</v>
      </c>
      <c r="C27" s="1">
        <f>Costs!C164</f>
        <v>0</v>
      </c>
      <c r="D27" s="1">
        <f>Costs!D164</f>
        <v>0</v>
      </c>
      <c r="E27" s="1">
        <f>Costs!E164</f>
        <v>0</v>
      </c>
    </row>
    <row r="28" spans="1:5" ht="12.75">
      <c r="A28" t="str">
        <f>Costs!A165</f>
        <v>    Select Equipment</v>
      </c>
      <c r="B28" s="1">
        <f>Costs!B165</f>
        <v>0</v>
      </c>
      <c r="C28" s="1">
        <f>Costs!C165</f>
        <v>0</v>
      </c>
      <c r="D28" s="1">
        <f>Costs!D165</f>
        <v>220</v>
      </c>
      <c r="E28" s="1">
        <f>Costs!E165</f>
        <v>220</v>
      </c>
    </row>
    <row r="29" spans="1:5" ht="12.75">
      <c r="A29" t="str">
        <f>Costs!A166</f>
        <v>    Support Facilities</v>
      </c>
      <c r="B29" s="1">
        <f>Costs!B166</f>
        <v>0</v>
      </c>
      <c r="C29" s="1">
        <f>Costs!C166</f>
        <v>0</v>
      </c>
      <c r="D29" s="1">
        <f>Costs!D166</f>
        <v>0</v>
      </c>
      <c r="E29" s="1">
        <f>Costs!E166</f>
        <v>0</v>
      </c>
    </row>
    <row r="30" spans="1:5" ht="12.75">
      <c r="A30" t="str">
        <f>Costs!A167</f>
        <v>    Purchase CEMS Hardware</v>
      </c>
      <c r="B30" s="1">
        <f>Costs!B167</f>
        <v>0</v>
      </c>
      <c r="C30" s="1">
        <f>Costs!C167</f>
        <v>0</v>
      </c>
      <c r="D30" s="1">
        <f>Costs!D167</f>
        <v>0</v>
      </c>
      <c r="E30" s="1">
        <f>Costs!E167</f>
        <v>0</v>
      </c>
    </row>
    <row r="31" spans="1:5" ht="12.75">
      <c r="A31" t="str">
        <f>Costs!A168</f>
        <v>    Install and Check CEMS</v>
      </c>
      <c r="B31" s="1">
        <f>Costs!B168</f>
        <v>0</v>
      </c>
      <c r="C31" s="1">
        <f>Costs!C168</f>
        <v>0</v>
      </c>
      <c r="D31" s="1">
        <f>Costs!D168</f>
        <v>690</v>
      </c>
      <c r="E31" s="1">
        <f>Costs!E168</f>
        <v>690</v>
      </c>
    </row>
    <row r="32" spans="1:5" ht="12.75">
      <c r="A32" t="str">
        <f>Costs!A169</f>
        <v>    Performance Specification Tests</v>
      </c>
      <c r="B32" s="1">
        <f>Costs!B169</f>
        <v>0</v>
      </c>
      <c r="C32" s="1">
        <f>Costs!C169</f>
        <v>0</v>
      </c>
      <c r="D32" s="1">
        <f>Costs!D169</f>
        <v>0</v>
      </c>
      <c r="E32" s="1">
        <f>Costs!E169</f>
        <v>0</v>
      </c>
    </row>
    <row r="33" spans="1:5" ht="12.75">
      <c r="A33" t="str">
        <f>Costs!A170</f>
        <v>    QA/QC Plan</v>
      </c>
      <c r="B33" s="6">
        <f>Costs!B170</f>
        <v>0</v>
      </c>
      <c r="C33" s="6">
        <f>Costs!C170</f>
        <v>0</v>
      </c>
      <c r="D33" s="6">
        <f>Costs!D170</f>
        <v>0</v>
      </c>
      <c r="E33" s="6">
        <f>Costs!E170</f>
        <v>0</v>
      </c>
    </row>
    <row r="34" spans="2:5" ht="12.75">
      <c r="B34" s="1">
        <f>Costs!B171</f>
        <v>0</v>
      </c>
      <c r="C34" s="1">
        <f>Costs!C171</f>
        <v>0</v>
      </c>
      <c r="D34" s="1">
        <f>Costs!D171</f>
        <v>910</v>
      </c>
      <c r="E34" s="1">
        <f>Costs!E171</f>
        <v>910</v>
      </c>
    </row>
    <row r="36" ht="12.75">
      <c r="A36" t="str">
        <f>Costs!A173</f>
        <v>Annual Costs</v>
      </c>
    </row>
    <row r="37" spans="1:5" ht="12.75">
      <c r="A37" t="str">
        <f>Costs!A174</f>
        <v>    Day-to-Day Activities</v>
      </c>
      <c r="B37" s="1">
        <f>Costs!B174</f>
        <v>0</v>
      </c>
      <c r="C37" s="1">
        <f>Costs!C174</f>
        <v>0</v>
      </c>
      <c r="D37" s="1">
        <f>Costs!D174</f>
        <v>0</v>
      </c>
      <c r="E37" s="1">
        <f>Costs!E174</f>
        <v>0</v>
      </c>
    </row>
    <row r="38" spans="1:5" ht="12.75">
      <c r="A38" t="str">
        <f>Costs!A175</f>
        <v>    Annual RATA</v>
      </c>
      <c r="B38" s="1">
        <f>Costs!B175</f>
        <v>0</v>
      </c>
      <c r="C38" s="1">
        <f>Costs!C175</f>
        <v>0</v>
      </c>
      <c r="D38" s="1">
        <f>Costs!D175</f>
        <v>0</v>
      </c>
      <c r="E38" s="1">
        <f>Costs!E175</f>
        <v>0</v>
      </c>
    </row>
    <row r="39" spans="1:5" ht="12.75">
      <c r="A39" t="str">
        <f>Costs!A176</f>
        <v>    PM Monitor RCA</v>
      </c>
      <c r="B39" s="1">
        <f>Costs!B176</f>
        <v>0</v>
      </c>
      <c r="C39" s="1">
        <f>Costs!C176</f>
        <v>0</v>
      </c>
      <c r="D39" s="1">
        <f>Costs!D176</f>
        <v>0</v>
      </c>
      <c r="E39" s="1">
        <f>Costs!E176</f>
        <v>0</v>
      </c>
    </row>
    <row r="40" spans="1:5" ht="12.75">
      <c r="A40" t="str">
        <f>Costs!A177</f>
        <v>    PM Monitor RRA</v>
      </c>
      <c r="B40" s="1">
        <f>Costs!B177</f>
        <v>0</v>
      </c>
      <c r="C40" s="1">
        <f>Costs!C177</f>
        <v>0</v>
      </c>
      <c r="D40" s="1">
        <f>Costs!D177</f>
        <v>0</v>
      </c>
      <c r="E40" s="1">
        <f>Costs!E177</f>
        <v>0</v>
      </c>
    </row>
    <row r="41" spans="1:5" ht="12.75">
      <c r="A41" t="str">
        <f>Costs!A178</f>
        <v>    Cylinder Gas Audits (ACA/SVA for PM)</v>
      </c>
      <c r="B41" s="1">
        <f>Costs!B178</f>
        <v>0</v>
      </c>
      <c r="C41" s="1">
        <f>Costs!C178</f>
        <v>0</v>
      </c>
      <c r="D41" s="1">
        <f>Costs!D178</f>
        <v>0</v>
      </c>
      <c r="E41" s="1">
        <f>Costs!E178</f>
        <v>0</v>
      </c>
    </row>
    <row r="42" spans="1:5" ht="12.75">
      <c r="A42" t="str">
        <f>Costs!A179</f>
        <v>    Recordkeeping and Reporting</v>
      </c>
      <c r="B42" s="1">
        <f>Costs!B179</f>
        <v>24</v>
      </c>
      <c r="C42" s="1">
        <f>Costs!C179</f>
        <v>0</v>
      </c>
      <c r="D42" s="1">
        <f>Costs!D179</f>
        <v>0</v>
      </c>
      <c r="E42" s="1">
        <f>Costs!E179</f>
        <v>24</v>
      </c>
    </row>
    <row r="43" spans="1:5" ht="12.75">
      <c r="A43" t="str">
        <f>Costs!A180</f>
        <v>    Annual QA &amp; O&amp;M Review and Update</v>
      </c>
      <c r="B43" s="1">
        <f>Costs!B180</f>
        <v>0</v>
      </c>
      <c r="C43" s="1">
        <f>Costs!C180</f>
        <v>0</v>
      </c>
      <c r="D43" s="1">
        <f>Costs!D180</f>
        <v>50</v>
      </c>
      <c r="E43" s="1">
        <f>Costs!E180</f>
        <v>50</v>
      </c>
    </row>
    <row r="44" spans="1:5" ht="12.75">
      <c r="A44" t="str">
        <f>Costs!A181</f>
        <v>    Capital Recovery</v>
      </c>
      <c r="B44" s="6">
        <f>Costs!B181</f>
        <v>0</v>
      </c>
      <c r="C44" s="6">
        <f>Costs!C181</f>
        <v>0</v>
      </c>
      <c r="D44" s="6">
        <f>Costs!D181</f>
        <v>129.584</v>
      </c>
      <c r="E44" s="6">
        <f>Costs!E181</f>
        <v>129.584</v>
      </c>
    </row>
    <row r="46" spans="1:5" ht="12.75">
      <c r="A46" t="str">
        <f>Costs!A183</f>
        <v>    Total w/o capital recovery</v>
      </c>
      <c r="B46" s="1">
        <f>Costs!B183</f>
        <v>24</v>
      </c>
      <c r="C46" s="1">
        <f>Costs!C183</f>
        <v>0</v>
      </c>
      <c r="D46" s="1">
        <f>Costs!D183</f>
        <v>50</v>
      </c>
      <c r="E46" s="1">
        <f>Costs!E183</f>
        <v>74</v>
      </c>
    </row>
    <row r="47" spans="1:5" ht="12.75">
      <c r="A47" t="str">
        <f>Costs!A184</f>
        <v>    Total with capital recovery</v>
      </c>
      <c r="B47" s="1">
        <f>Costs!B184</f>
        <v>24</v>
      </c>
      <c r="C47" s="1">
        <f>Costs!C184</f>
        <v>0</v>
      </c>
      <c r="D47" s="1">
        <f>Costs!D184</f>
        <v>179.584</v>
      </c>
      <c r="E47" s="1">
        <f>Costs!E184</f>
        <v>203.584</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Extractive model</dc:title>
  <dc:subject/>
  <dc:creator>Joseph Conder</dc:creator>
  <cp:keywords/>
  <dc:description/>
  <cp:lastModifiedBy>Copeland, Kimberly</cp:lastModifiedBy>
  <cp:lastPrinted>2006-06-05T13:52:53Z</cp:lastPrinted>
  <dcterms:created xsi:type="dcterms:W3CDTF">1997-06-12T15:55:15Z</dcterms:created>
  <dcterms:modified xsi:type="dcterms:W3CDTF">2018-05-07T19:43:17Z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-1657122812</vt:i4>
  </property>
  <property fmtid="{D5CDD505-2E9C-101B-9397-08002B2CF9AE}" pid="3" name="_EmailSubject">
    <vt:lpwstr>CEMS Cost Model</vt:lpwstr>
  </property>
  <property fmtid="{D5CDD505-2E9C-101B-9397-08002B2CF9AE}" pid="4" name="_AuthorEmail">
    <vt:lpwstr>ddrandall@rti.org</vt:lpwstr>
  </property>
  <property fmtid="{D5CDD505-2E9C-101B-9397-08002B2CF9AE}" pid="5" name="_AuthorEmailDisplayName">
    <vt:lpwstr>Randall, David</vt:lpwstr>
  </property>
  <property fmtid="{D5CDD505-2E9C-101B-9397-08002B2CF9AE}" pid="6" name="_ReviewingToolsShownOnce">
    <vt:lpwstr/>
  </property>
</Properties>
</file>