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filterPrivacy="1" codeName="ThisWorkbook" defaultThemeVersion="166925"/>
  <xr:revisionPtr revIDLastSave="80" documentId="13_ncr:1_{4A50CF20-86D3-44A8-81CF-4D64ABCA442D}" xr6:coauthVersionLast="45" xr6:coauthVersionMax="45" xr10:uidLastSave="{CBAD2E7E-8F8D-428A-B9E2-AABAEF817DA5}"/>
  <workbookProtection workbookAlgorithmName="SHA-512" workbookHashValue="UXSDpJp/xRbz3aTus6KQyP0KniRYdsYDkJ9Buk6155EhO6qK8pwpV0V4nw69fHfWFx3phPGk0A4bVblXzLePDw==" workbookSaltValue="wJGHOyJzasNfMMUsJZa2vQ==" workbookSpinCount="100000" lockStructure="1"/>
  <bookViews>
    <workbookView xWindow="-120" yWindow="-120" windowWidth="19440" windowHeight="11160" xr2:uid="{CBE31E67-C466-4573-87AC-CAC3D085E465}"/>
  </bookViews>
  <sheets>
    <sheet name="Cover Page" sheetId="64" r:id="rId1"/>
    <sheet name="Table of Contents" sheetId="21" r:id="rId2"/>
    <sheet name="Exposure Scenario (Exp. Scen.)" sheetId="63" r:id="rId3"/>
    <sheet name="Release Calculations - 100k lbs" sheetId="1" r:id="rId4"/>
    <sheet name="Release Results 100k lbs" sheetId="51" r:id="rId5"/>
    <sheet name="Releases_SummaryInput Variables" sheetId="20" state="hidden" r:id="rId6"/>
    <sheet name="Release Calculations - 50k lbs" sheetId="58" r:id="rId7"/>
    <sheet name="Release Results 50k lbs" sheetId="59" r:id="rId8"/>
    <sheet name="Release Calculations - 25k lbs" sheetId="60" r:id="rId9"/>
    <sheet name="Release Results 25k lbs" sheetId="61" r:id="rId10"/>
    <sheet name="Release Days and Sites" sheetId="57" r:id="rId11"/>
    <sheet name="Releases_Exp. Scen. 1" sheetId="45" r:id="rId12"/>
    <sheet name="Releases_Exp. Scen. 2" sheetId="9" r:id="rId13"/>
    <sheet name="Releases_Exp. Scen. 3" sheetId="2" r:id="rId14"/>
    <sheet name="Releases_Exp. Scen. 4_EURAR" sheetId="10" r:id="rId15"/>
    <sheet name="Releases_Exp. Scen. 4_TRI" sheetId="54" r:id="rId16"/>
    <sheet name="Releases_Exp. Scen. 5 and 10" sheetId="41" r:id="rId17"/>
    <sheet name="Releases_Exp. Scen. 6 and 8" sheetId="43" r:id="rId18"/>
    <sheet name="Releases_OES9 Service Life" sheetId="18" state="hidden" r:id="rId19"/>
    <sheet name="Releases_Exp. Scen. 9" sheetId="44" r:id="rId20"/>
    <sheet name="Releases_Exp. Scen. 11" sheetId="38" r:id="rId21"/>
    <sheet name="Releases_OES13 Coatings App" sheetId="39" state="hidden" r:id="rId22"/>
    <sheet name="Releases_Exp. Scen. 12" sheetId="40" r:id="rId23"/>
    <sheet name="Releases_Exp. Scen. 13" sheetId="66" r:id="rId24"/>
    <sheet name="Exp. Scen. 8_No. of Sites" sheetId="15" r:id="rId25"/>
    <sheet name="Inhalation Table_Service Life" sheetId="16" state="hidden" r:id="rId26"/>
    <sheet name="Inhalation_OES13 Coatings App" sheetId="46" state="hidden" r:id="rId27"/>
  </sheets>
  <externalReferences>
    <externalReference r:id="rId28"/>
    <externalReference r:id="rId29"/>
  </externalReference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localSheetId="0" hidden="1">100</definedName>
    <definedName name="_AtRisk_SimSetting_ConvergenceTestingPeriod" hidden="1">10</definedName>
    <definedName name="_AtRisk_SimSetting_ConvergenceTolerance" localSheetId="0" hidden="1">0.03</definedName>
    <definedName name="_AtRisk_SimSetting_ConvergenceTolerance" hidden="1">0.01</definedName>
    <definedName name="_AtRisk_SimSetting_LiveUpdate" hidden="1">TRUE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sList" hidden="1">15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ACff_50pct" localSheetId="0">'[1]Baseline Exposure Results'!$F$10</definedName>
    <definedName name="ACff_50pct">'[2]Baseline Exposure Results'!$F$10</definedName>
    <definedName name="ACff_5pct" localSheetId="0">'[1]Baseline Exposure Results'!$F$11</definedName>
    <definedName name="ACff_5pct">'[2]Baseline Exposure Results'!$F$11</definedName>
    <definedName name="ACff_95pct" localSheetId="0">'[1]Baseline Exposure Results'!$F$9</definedName>
    <definedName name="ACff_95pct">'[2]Baseline Exposure Results'!$F$9</definedName>
    <definedName name="ACff_99pct" localSheetId="0">'[1]Baseline Exposure Results'!$F$8</definedName>
    <definedName name="ACff_99pct">'[2]Baseline Exposure Results'!$F$8</definedName>
    <definedName name="ACff_max" localSheetId="0">'[1]Baseline Exposure Results'!$F$7</definedName>
    <definedName name="ACff_max">'[2]Baseline Exposure Results'!$F$7</definedName>
    <definedName name="ACff_mean" localSheetId="0">'[1]Baseline Exposure Results'!$F$13</definedName>
    <definedName name="ACff_mean">'[2]Baseline Exposure Results'!$F$13</definedName>
    <definedName name="ACff_min" localSheetId="0">'[1]Baseline Exposure Results'!$F$12</definedName>
    <definedName name="ACff_min">'[2]Baseline Exposure Results'!$F$12</definedName>
    <definedName name="ACnf_50pct" localSheetId="0">'[1]Baseline Exposure Results'!$E$10</definedName>
    <definedName name="ACnf_50pct">'[2]Baseline Exposure Results'!$E$10</definedName>
    <definedName name="ACnf_5pct" localSheetId="0">'[1]Baseline Exposure Results'!$E$11</definedName>
    <definedName name="ACnf_5pct">'[2]Baseline Exposure Results'!$E$11</definedName>
    <definedName name="ACnf_95pct" localSheetId="0">'[1]Baseline Exposure Results'!$E$9</definedName>
    <definedName name="ACnf_95pct">'[2]Baseline Exposure Results'!$E$9</definedName>
    <definedName name="ACnf_99pct" localSheetId="0">'[1]Baseline Exposure Results'!$E$8</definedName>
    <definedName name="ACnf_99pct">'[2]Baseline Exposure Results'!$E$8</definedName>
    <definedName name="ACnf_max" localSheetId="0">'[1]Baseline Exposure Results'!$E$7</definedName>
    <definedName name="ACnf_max">'[2]Baseline Exposure Results'!$E$7</definedName>
    <definedName name="ACnf_mean" localSheetId="0">'[1]Baseline Exposure Results'!$E$13</definedName>
    <definedName name="ACnf_mean">'[2]Baseline Exposure Results'!$E$13</definedName>
    <definedName name="ACnf_min" localSheetId="0">'[1]Baseline Exposure Results'!$E$12</definedName>
    <definedName name="ACnf_min">'[2]Baseline Exposure Results'!$E$12</definedName>
    <definedName name="ADCff_50pct" localSheetId="0">'[1]Baseline Exposure Results'!$H$10</definedName>
    <definedName name="ADCff_50pct">'[2]Baseline Exposure Results'!$H$10</definedName>
    <definedName name="ADCff_5pct" localSheetId="0">'[1]Baseline Exposure Results'!$H$11</definedName>
    <definedName name="ADCff_5pct">'[2]Baseline Exposure Results'!$H$11</definedName>
    <definedName name="ADCff_95pct" localSheetId="0">'[1]Baseline Exposure Results'!$H$9</definedName>
    <definedName name="ADCff_95pct">'[2]Baseline Exposure Results'!$H$9</definedName>
    <definedName name="ADCff_99pct" localSheetId="0">'[1]Baseline Exposure Results'!$H$8</definedName>
    <definedName name="ADCff_99pct">'[2]Baseline Exposure Results'!$H$8</definedName>
    <definedName name="ADCff_max" localSheetId="0">'[1]Baseline Exposure Results'!$H$7</definedName>
    <definedName name="ADCff_max">'[2]Baseline Exposure Results'!$H$7</definedName>
    <definedName name="ADCff_mean" localSheetId="0">'[1]Baseline Exposure Results'!$H$13</definedName>
    <definedName name="ADCff_mean">'[2]Baseline Exposure Results'!$H$13</definedName>
    <definedName name="ADCff_min" localSheetId="0">'[1]Baseline Exposure Results'!$H$12</definedName>
    <definedName name="ADCff_min">'[2]Baseline Exposure Results'!$H$12</definedName>
    <definedName name="ADCnf_50pct" localSheetId="0">'[1]Baseline Exposure Results'!$G$10</definedName>
    <definedName name="ADCnf_50pct">'[2]Baseline Exposure Results'!$G$10</definedName>
    <definedName name="ADCnf_5pct" localSheetId="0">'[1]Baseline Exposure Results'!$G$11</definedName>
    <definedName name="ADCnf_5pct">'[2]Baseline Exposure Results'!$G$11</definedName>
    <definedName name="ADCnf_95pct" localSheetId="0">'[1]Baseline Exposure Results'!$G$9</definedName>
    <definedName name="ADCnf_95pct">'[2]Baseline Exposure Results'!$G$9</definedName>
    <definedName name="ADCnf_99pct" localSheetId="0">'[1]Baseline Exposure Results'!$G$8</definedName>
    <definedName name="ADCnf_99pct">'[2]Baseline Exposure Results'!$G$8</definedName>
    <definedName name="ADCnf_max" localSheetId="0">'[1]Baseline Exposure Results'!$G$7</definedName>
    <definedName name="ADCnf_max">'[2]Baseline Exposure Results'!$G$7</definedName>
    <definedName name="ADCnf_mean" localSheetId="0">'[1]Baseline Exposure Results'!$G$13</definedName>
    <definedName name="ADCnf_mean">'[2]Baseline Exposure Results'!$G$13</definedName>
    <definedName name="ADCnf_min" localSheetId="0">'[1]Baseline Exposure Results'!$G$12</definedName>
    <definedName name="ADCnf_min">'[2]Baseline Exposure Results'!$G$12</definedName>
    <definedName name="AER_MC" localSheetId="0">'[1]Exposure Parameters'!$L$7</definedName>
    <definedName name="AER_MC">'[2]Exposure Parameters'!$L$7</definedName>
    <definedName name="Air_speed_MC" localSheetId="0">'[1]Exposure Parameters'!$L$8</definedName>
    <definedName name="Air_speed_MC">'[2]Exposure Parameters'!$L$8</definedName>
    <definedName name="Amt">'[2]Exposure Parameters'!$L$16</definedName>
    <definedName name="AT_acute" localSheetId="0">'[1]Baseline Exposure Results'!$D$18</definedName>
    <definedName name="AT_acute">'[2]Baseline Exposure Results'!$D$18</definedName>
    <definedName name="AT_cancer" localSheetId="0">'[1]Baseline Exposure Results'!$D$25</definedName>
    <definedName name="AT_cancer">'[2]Baseline Exposure Results'!$D$25</definedName>
    <definedName name="AT_noncancer" localSheetId="0">'[1]Baseline Exposure Results'!$D$24</definedName>
    <definedName name="AT_noncancer">'[2]Baseline Exposure Results'!$D$24</definedName>
    <definedName name="Benchmark_Cancer_Drop_down" localSheetId="0">'[1]Look-up Values'!$P$6:$P$8</definedName>
    <definedName name="Benchmark_Cancer_Drop_down">'[2]Look-up Values'!$P$6:$P$8</definedName>
    <definedName name="Cff_mass" localSheetId="0">'[1]Exposure Calcs'!$E$7</definedName>
    <definedName name="Cff_mass">'[2]Exposure Calcs'!$N$15</definedName>
    <definedName name="Cff_ppm" localSheetId="0">'[1]Exposure Calcs'!$E$8</definedName>
    <definedName name="Cff_ppm">'[2]Exposure Calcs'!$N$16</definedName>
    <definedName name="Cff_ppm_50pct" localSheetId="0">'[1]Baseline Exposure Results'!$D$10</definedName>
    <definedName name="Cff_ppm_50pct">'[2]Baseline Exposure Results'!$D$10</definedName>
    <definedName name="Cff_ppm_5pct" localSheetId="0">'[1]Baseline Exposure Results'!$D$11</definedName>
    <definedName name="Cff_ppm_5pct">'[2]Baseline Exposure Results'!$D$11</definedName>
    <definedName name="Cff_ppm_95pct" localSheetId="0">'[1]Baseline Exposure Results'!$D$9</definedName>
    <definedName name="Cff_ppm_95pct">'[2]Baseline Exposure Results'!$D$9</definedName>
    <definedName name="Cff_ppm_99pct" localSheetId="0">'[1]Baseline Exposure Results'!$D$8</definedName>
    <definedName name="Cff_ppm_99pct">'[2]Baseline Exposure Results'!$D$8</definedName>
    <definedName name="Cff_ppm_max" localSheetId="0">'[1]Baseline Exposure Results'!$D$7</definedName>
    <definedName name="Cff_ppm_max">'[2]Baseline Exposure Results'!$D$7</definedName>
    <definedName name="Cff_ppm_mean" localSheetId="0">'[1]Baseline Exposure Results'!$D$13</definedName>
    <definedName name="Cff_ppm_mean">'[2]Baseline Exposure Results'!$D$13</definedName>
    <definedName name="Cff_ppm_min" localSheetId="0">'[1]Baseline Exposure Results'!$D$12</definedName>
    <definedName name="Cff_ppm_min">'[2]Baseline Exposure Results'!$D$12</definedName>
    <definedName name="Cnf_mass" localSheetId="0">'[1]Exposure Calcs'!$E$5</definedName>
    <definedName name="Cnf_mass">'[2]Exposure Calcs'!$M$15</definedName>
    <definedName name="Cnf_o">'[2]Exposure Calcs'!$E$20</definedName>
    <definedName name="Cnf_ppm" localSheetId="0">'[1]Exposure Calcs'!$E$6</definedName>
    <definedName name="Cnf_ppm">'[2]Exposure Calcs'!$M$16</definedName>
    <definedName name="Cnf_ppm_50pct" localSheetId="0">'[1]Baseline Exposure Results'!$C$10</definedName>
    <definedName name="Cnf_ppm_50pct">'[2]Baseline Exposure Results'!$C$10</definedName>
    <definedName name="Cnf_ppm_5pct" localSheetId="0">'[1]Baseline Exposure Results'!$C$11</definedName>
    <definedName name="Cnf_ppm_5pct">'[2]Baseline Exposure Results'!$C$11</definedName>
    <definedName name="Cnf_ppm_95pct" localSheetId="0">'[1]Baseline Exposure Results'!$C$9</definedName>
    <definedName name="Cnf_ppm_95pct">'[2]Baseline Exposure Results'!$C$9</definedName>
    <definedName name="Cnf_ppm_99pct" localSheetId="0">'[1]Baseline Exposure Results'!$C$8</definedName>
    <definedName name="Cnf_ppm_99pct">'[2]Baseline Exposure Results'!$C$8</definedName>
    <definedName name="Cnf_ppm_max" localSheetId="0">'[1]Baseline Exposure Results'!$C$7</definedName>
    <definedName name="Cnf_ppm_max">'[2]Baseline Exposure Results'!$C$7</definedName>
    <definedName name="Cnf_ppm_mean" localSheetId="0">'[1]Baseline Exposure Results'!$C$13</definedName>
    <definedName name="Cnf_ppm_mean">'[2]Baseline Exposure Results'!$C$13</definedName>
    <definedName name="Cnf_ppm_min" localSheetId="0">'[1]Baseline Exposure Results'!$C$12</definedName>
    <definedName name="Cnf_ppm_min">'[2]Baseline Exposure Results'!$C$12</definedName>
    <definedName name="ED_acute" localSheetId="0">'[1]Baseline Exposure Results'!$D$17</definedName>
    <definedName name="ED_acute">'[2]Baseline Exposure Results'!$D$17</definedName>
    <definedName name="ED_chronic" localSheetId="0">'[1]Baseline Exposure Results'!$D$19</definedName>
    <definedName name="ED_chronic">'[2]Baseline Exposure Results'!$D$19</definedName>
    <definedName name="EF_chronic" localSheetId="0">'[1]Baseline Exposure Results'!$D$20</definedName>
    <definedName name="EF_chronic">'[2]Baseline Exposure Results'!$D$20</definedName>
    <definedName name="Exposure_Drop_down" localSheetId="0">'[1]Look-up Values'!$O$6:$O$12</definedName>
    <definedName name="Exposure_Drop_down">'[2]Look-up Values'!$O$6:$O$12</definedName>
    <definedName name="FSA" localSheetId="0">'[1]Exposure Calcs'!$E$9</definedName>
    <definedName name="FSA">'[2]Exposure Calcs'!$E$9</definedName>
    <definedName name="ft_per_cm" localSheetId="0">'[1]Exposure Parameters'!$D$31</definedName>
    <definedName name="ft_per_cm">'[2]Exposure Parameters'!$D$28</definedName>
    <definedName name="ft_per_m" localSheetId="0">'[1]Exposure Parameters'!$D$30</definedName>
    <definedName name="ft_per_m">'[2]Exposure Parameters'!$D$27</definedName>
    <definedName name="G_MC">'[1]Exposure Parameters'!$L$17</definedName>
    <definedName name="HEC_Drop_down" localSheetId="0">'[1]Look-up Values'!$N$6:$N$8</definedName>
    <definedName name="HEC_Drop_down">'[2]Look-up Values'!$N$6:$N$8</definedName>
    <definedName name="Hnf_MC" localSheetId="0">'[1]Exposure Parameters'!$L$12</definedName>
    <definedName name="Hnf_MC">'[2]Exposure Parameters'!$L$12</definedName>
    <definedName name="hr_per_yr">'[1]Exposure Parameters'!$D$34</definedName>
    <definedName name="kcoef1" localSheetId="0">'[1]Exposure Calcs'!$E$16</definedName>
    <definedName name="kcoef2" localSheetId="0">'[1]Exposure Calcs'!$E$17</definedName>
    <definedName name="kcoef3" localSheetId="0">'[1]Exposure Calcs'!$E$18</definedName>
    <definedName name="kcoef4" localSheetId="0">'[1]Exposure Calcs'!$E$19</definedName>
    <definedName name="kcoef5">'[1]Exposure Calcs'!$E$20</definedName>
    <definedName name="LADCff_50pct" localSheetId="0">'[1]Baseline Exposure Results'!$J$10</definedName>
    <definedName name="LADCff_50pct">'[2]Baseline Exposure Results'!$J$10</definedName>
    <definedName name="LADCff_5pct" localSheetId="0">'[1]Baseline Exposure Results'!$J$11</definedName>
    <definedName name="LADCff_5pct">'[2]Baseline Exposure Results'!$J$11</definedName>
    <definedName name="LADCff_95pct" localSheetId="0">'[1]Baseline Exposure Results'!$J$9</definedName>
    <definedName name="LADCff_95pct">'[2]Baseline Exposure Results'!$J$9</definedName>
    <definedName name="LADCff_99pct" localSheetId="0">'[1]Baseline Exposure Results'!$J$8</definedName>
    <definedName name="LADCff_99pct">'[2]Baseline Exposure Results'!$J$8</definedName>
    <definedName name="LADCff_max" localSheetId="0">'[1]Baseline Exposure Results'!$J$7</definedName>
    <definedName name="LADCff_max">'[2]Baseline Exposure Results'!$J$7</definedName>
    <definedName name="LADCff_mean" localSheetId="0">'[1]Baseline Exposure Results'!$J$13</definedName>
    <definedName name="LADCff_mean">'[2]Baseline Exposure Results'!$J$13</definedName>
    <definedName name="LADCff_min" localSheetId="0">'[1]Baseline Exposure Results'!$J$12</definedName>
    <definedName name="LADCff_min">'[2]Baseline Exposure Results'!$J$12</definedName>
    <definedName name="LADCnf_50pct" localSheetId="0">'[1]Baseline Exposure Results'!$I$10</definedName>
    <definedName name="LADCnf_50pct">'[2]Baseline Exposure Results'!$I$10</definedName>
    <definedName name="LADCnf_5pct" localSheetId="0">'[1]Baseline Exposure Results'!$I$11</definedName>
    <definedName name="LADCnf_5pct">'[2]Baseline Exposure Results'!$I$11</definedName>
    <definedName name="LADCnf_95pct" localSheetId="0">'[1]Baseline Exposure Results'!$I$9</definedName>
    <definedName name="LADCnf_95pct">'[2]Baseline Exposure Results'!$I$9</definedName>
    <definedName name="LADCnf_99pct" localSheetId="0">'[1]Baseline Exposure Results'!$I$8</definedName>
    <definedName name="LADCnf_99pct">'[2]Baseline Exposure Results'!$I$8</definedName>
    <definedName name="LADCnf_max" localSheetId="0">'[1]Baseline Exposure Results'!$I$7</definedName>
    <definedName name="LADCnf_max">'[2]Baseline Exposure Results'!$I$7</definedName>
    <definedName name="LADCnf_mean" localSheetId="0">'[1]Baseline Exposure Results'!$I$13</definedName>
    <definedName name="LADCnf_mean">'[2]Baseline Exposure Results'!$I$13</definedName>
    <definedName name="LADCnf_min" localSheetId="0">'[1]Baseline Exposure Results'!$I$12</definedName>
    <definedName name="LADCnf_min">'[2]Baseline Exposure Results'!$I$12</definedName>
    <definedName name="lambda1" localSheetId="0">'[1]Exposure Calcs'!$E$14</definedName>
    <definedName name="lambda1">'[2]Exposure Calcs'!$E$14</definedName>
    <definedName name="lambda2" localSheetId="0">'[1]Exposure Calcs'!$E$15</definedName>
    <definedName name="lambda2">'[2]Exposure Calcs'!$E$15</definedName>
    <definedName name="Lnf_MC" localSheetId="0">'[1]Exposure Parameters'!$L$10</definedName>
    <definedName name="Lnf_MC">'[2]Exposure Parameters'!$L$10</definedName>
    <definedName name="LT_cancer" localSheetId="0">'[1]Baseline Exposure Results'!$D$23</definedName>
    <definedName name="LT_cancer">'[2]Baseline Exposure Results'!$D$23</definedName>
    <definedName name="LT_noncancer" localSheetId="0">'[1]Baseline Exposure Results'!$D$22</definedName>
    <definedName name="LT_noncancer">'[2]Baseline Exposure Results'!$D$22</definedName>
    <definedName name="MC_On_Off">'[2]Exposure Parameters'!$P$6:$P$7</definedName>
    <definedName name="MC_On_Off_Drop_down">'[1]Exposure Parameters'!$P$6:$P$7</definedName>
    <definedName name="mg_per_gram" localSheetId="0">'[1]Exposure Parameters'!$D$28</definedName>
    <definedName name="mg_per_gram">'[2]Exposure Parameters'!$D$25</definedName>
    <definedName name="min_per_hr" localSheetId="0">'[1]Exposure Parameters'!$D$33</definedName>
    <definedName name="MS_5" localSheetId="0">'[1]Worker Risk Reduction Exposure'!$E$6</definedName>
    <definedName name="MS_5">'[2]Worker Risk Reduction Exposure'!$E$6</definedName>
    <definedName name="MW" localSheetId="0">'[1]Exposure Parameters'!$D$27</definedName>
    <definedName name="MW">'[2]Exposure Parameters'!$D$24</definedName>
    <definedName name="OH_MC">'[1]Exposure Parameters'!$L$20</definedName>
    <definedName name="Pal_Workbook_GUID" hidden="1">"QFFA8IQU6YFGRFCXE7L4LIWR"</definedName>
    <definedName name="Press" localSheetId="0">'[1]Exposure Parameters'!$D$25</definedName>
    <definedName name="Press">'[2]Exposure Parameters'!$D$22</definedName>
    <definedName name="Qff" localSheetId="0">'[1]Exposure Calcs'!$E$11</definedName>
    <definedName name="Qff">'[2]Exposure Calcs'!$E$11</definedName>
    <definedName name="Qnf" localSheetId="0">'[1]Exposure Calcs'!$E$10</definedName>
    <definedName name="Qnf">'[2]Exposure Calcs'!$E$10</definedName>
    <definedName name="Rgas" localSheetId="0">'[1]Exposure Parameters'!$D$26</definedName>
    <definedName name="Rgas">'[2]Exposure Parameters'!$D$23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R_Drop_down" localSheetId="0">'[1]RR Options Map'!$B$5:$B$75</definedName>
    <definedName name="RR_Drop_down">'[2]RR Options Map'!$B$5:$B$75</definedName>
    <definedName name="s_per_hr" localSheetId="0">'[1]Exposure Parameters'!$D$32</definedName>
    <definedName name="s_per_hr">'[2]Exposure Parameters'!$D$29</definedName>
    <definedName name="t1_MC" localSheetId="0">'[1]Exposure Parameters'!$L$13</definedName>
    <definedName name="t1_MC">'[2]Exposure Parameters'!$L$13</definedName>
    <definedName name="t2_MC" localSheetId="0">'[1]Exposure Parameters'!$L$14</definedName>
    <definedName name="t2_MC">'[2]Exposure Parameters'!$L$14</definedName>
    <definedName name="tavg_MC" localSheetId="0">'[1]Exposure Parameters'!$L$15</definedName>
    <definedName name="tavg_MC">'[2]Exposure Parameters'!$L$15</definedName>
    <definedName name="Temp" localSheetId="0">'[1]Exposure Parameters'!$D$24</definedName>
    <definedName name="Temp">'[2]Exposure Parameters'!$D$21</definedName>
    <definedName name="Vff_conv" localSheetId="0">'[1]Exposure Calcs'!$E$13</definedName>
    <definedName name="Vff_conv">'[2]Exposure Calcs'!$E$13</definedName>
    <definedName name="Vff_MC" localSheetId="0">'[1]Exposure Parameters'!$L$6</definedName>
    <definedName name="Vff_MC">'[2]Exposure Parameters'!$L$6</definedName>
    <definedName name="Vnf" localSheetId="0">'[1]Exposure Calcs'!$E$12</definedName>
    <definedName name="Vnf">'[2]Exposure Calcs'!$E$12</definedName>
    <definedName name="Wnf_MC" localSheetId="0">'[1]Exposure Parameters'!$L$11</definedName>
    <definedName name="Wnf_MC">'[2]Exposure Parameters'!$L$11</definedName>
    <definedName name="WY_chronic" localSheetId="0">'[1]Baseline Exposure Results'!$D$21</definedName>
    <definedName name="WY_chronic">'[2]Baseline Exposure Results'!$D$21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7" i="45" l="1"/>
  <c r="B23" i="21"/>
  <c r="B22" i="21"/>
  <c r="G57" i="1" l="1"/>
  <c r="G56" i="1"/>
  <c r="G55" i="1"/>
  <c r="C4" i="66" l="1"/>
  <c r="B4" i="66"/>
  <c r="B22" i="66"/>
  <c r="B21" i="66"/>
  <c r="C21" i="66"/>
  <c r="G54" i="1"/>
  <c r="K120" i="51" s="1"/>
  <c r="D18" i="57"/>
  <c r="C18" i="57"/>
  <c r="B18" i="57"/>
  <c r="C22" i="66"/>
  <c r="I21" i="66" l="1"/>
  <c r="H21" i="66"/>
  <c r="B16" i="66"/>
  <c r="F54" i="1" s="1"/>
  <c r="B14" i="66"/>
  <c r="F56" i="1" s="1"/>
  <c r="B15" i="66"/>
  <c r="F55" i="1" s="1"/>
  <c r="B13" i="66"/>
  <c r="F57" i="1" s="1"/>
  <c r="H54" i="1"/>
  <c r="H57" i="1"/>
  <c r="H56" i="1"/>
  <c r="H55" i="1"/>
  <c r="B7" i="57"/>
  <c r="B8" i="57"/>
  <c r="B9" i="57"/>
  <c r="B10" i="57"/>
  <c r="B11" i="57"/>
  <c r="B12" i="57"/>
  <c r="B13" i="57"/>
  <c r="B14" i="57"/>
  <c r="B15" i="57"/>
  <c r="B16" i="57"/>
  <c r="B17" i="57"/>
  <c r="B6" i="57"/>
  <c r="N54" i="1" l="1"/>
  <c r="W54" i="1" s="1"/>
  <c r="N56" i="1"/>
  <c r="W56" i="1" s="1"/>
  <c r="N57" i="1"/>
  <c r="W57" i="1" s="1"/>
  <c r="N55" i="1"/>
  <c r="W55" i="1" s="1"/>
  <c r="F40" i="1"/>
  <c r="F120" i="51" l="1"/>
  <c r="AF55" i="1"/>
  <c r="D120" i="51" s="1"/>
  <c r="J120" i="51"/>
  <c r="AF57" i="1"/>
  <c r="H120" i="51" s="1"/>
  <c r="I120" i="51"/>
  <c r="AF56" i="1"/>
  <c r="G120" i="51" s="1"/>
  <c r="E120" i="51"/>
  <c r="AF54" i="1"/>
  <c r="C120" i="51" s="1"/>
  <c r="I15" i="44"/>
  <c r="I14" i="44"/>
  <c r="D14" i="57"/>
  <c r="C14" i="57"/>
  <c r="L41" i="1" l="1"/>
  <c r="K41" i="1"/>
  <c r="H41" i="1"/>
  <c r="K82" i="51" s="1"/>
  <c r="H40" i="1"/>
  <c r="F81" i="51" s="1"/>
  <c r="F82" i="51" l="1"/>
  <c r="K80" i="51"/>
  <c r="F80" i="51"/>
  <c r="K81" i="51"/>
  <c r="F41" i="1"/>
  <c r="C7" i="44" l="1"/>
  <c r="F7" i="44" s="1"/>
  <c r="B4" i="40" l="1"/>
  <c r="E21" i="45"/>
  <c r="E18" i="45"/>
  <c r="E20" i="45"/>
  <c r="B11" i="21" l="1"/>
  <c r="B10" i="21"/>
  <c r="B9" i="21"/>
  <c r="B8" i="21"/>
  <c r="B7" i="21"/>
  <c r="B6" i="21"/>
  <c r="B5" i="21"/>
  <c r="B4" i="21"/>
  <c r="G18" i="15"/>
  <c r="G20" i="15" s="1"/>
  <c r="G21" i="15" s="1"/>
  <c r="G22" i="15" s="1"/>
  <c r="G23" i="15" s="1"/>
  <c r="G9" i="15"/>
  <c r="B9" i="15"/>
  <c r="D26" i="40"/>
  <c r="D25" i="40"/>
  <c r="E25" i="40" s="1"/>
  <c r="D15" i="38"/>
  <c r="E17" i="41"/>
  <c r="E15" i="45"/>
  <c r="C33" i="10"/>
  <c r="B33" i="10"/>
  <c r="G24" i="15" l="1"/>
  <c r="E29" i="2"/>
  <c r="C21" i="2"/>
  <c r="B16" i="9"/>
  <c r="C16" i="9"/>
  <c r="G10" i="15" l="1"/>
  <c r="G20" i="60" l="1"/>
  <c r="G19" i="60"/>
  <c r="G18" i="60"/>
  <c r="G17" i="60"/>
  <c r="G15" i="60"/>
  <c r="G14" i="60"/>
  <c r="K18" i="61" s="1"/>
  <c r="G13" i="60"/>
  <c r="G12" i="60"/>
  <c r="K17" i="61" s="1"/>
  <c r="H14" i="60"/>
  <c r="H12" i="60"/>
  <c r="G11" i="60"/>
  <c r="G9" i="60"/>
  <c r="G10" i="60"/>
  <c r="G8" i="60"/>
  <c r="D4" i="60"/>
  <c r="F8" i="60" l="1"/>
  <c r="F9" i="60"/>
  <c r="F10" i="60"/>
  <c r="F13" i="60"/>
  <c r="K8" i="61"/>
  <c r="K9" i="61"/>
  <c r="F20" i="60"/>
  <c r="F18" i="60"/>
  <c r="F19" i="60"/>
  <c r="F11" i="60"/>
  <c r="F15" i="60"/>
  <c r="F12" i="60"/>
  <c r="F17" i="60"/>
  <c r="F14" i="60"/>
  <c r="K26" i="61"/>
  <c r="K29" i="61"/>
  <c r="K28" i="61"/>
  <c r="K27" i="61"/>
  <c r="G20" i="58" l="1"/>
  <c r="G18" i="58"/>
  <c r="G19" i="58"/>
  <c r="G17" i="58"/>
  <c r="H14" i="58"/>
  <c r="H12" i="58"/>
  <c r="G15" i="58"/>
  <c r="G13" i="58"/>
  <c r="G14" i="58"/>
  <c r="K18" i="59" s="1"/>
  <c r="G12" i="58"/>
  <c r="K17" i="59" s="1"/>
  <c r="G11" i="58"/>
  <c r="G9" i="58"/>
  <c r="G10" i="58"/>
  <c r="G8" i="58"/>
  <c r="K8" i="59" s="1"/>
  <c r="D4" i="58"/>
  <c r="K9" i="59" l="1"/>
  <c r="K26" i="59"/>
  <c r="K27" i="59"/>
  <c r="F20" i="58"/>
  <c r="F17" i="58"/>
  <c r="F14" i="58"/>
  <c r="F11" i="58"/>
  <c r="F18" i="58"/>
  <c r="F8" i="58"/>
  <c r="F9" i="58"/>
  <c r="F10" i="58"/>
  <c r="F15" i="58"/>
  <c r="F19" i="58"/>
  <c r="K29" i="59"/>
  <c r="F12" i="58"/>
  <c r="F13" i="58"/>
  <c r="K28" i="59"/>
  <c r="G52" i="1"/>
  <c r="G51" i="1"/>
  <c r="G50" i="1"/>
  <c r="G49" i="1"/>
  <c r="G47" i="1"/>
  <c r="G46" i="1"/>
  <c r="G44" i="1"/>
  <c r="G45" i="1"/>
  <c r="G43" i="1"/>
  <c r="G38" i="1"/>
  <c r="G35" i="1"/>
  <c r="G37" i="1"/>
  <c r="G36" i="1"/>
  <c r="G32" i="1"/>
  <c r="G30" i="1"/>
  <c r="G31" i="1"/>
  <c r="G29" i="1"/>
  <c r="G27" i="1"/>
  <c r="G25" i="1"/>
  <c r="G26" i="1"/>
  <c r="G24" i="1"/>
  <c r="G20" i="1"/>
  <c r="G21" i="1"/>
  <c r="G19" i="1"/>
  <c r="G17" i="1"/>
  <c r="G18" i="1"/>
  <c r="G16" i="1"/>
  <c r="G15" i="1"/>
  <c r="G13" i="1"/>
  <c r="G14" i="1"/>
  <c r="G12" i="1"/>
  <c r="G10" i="1"/>
  <c r="G8" i="1"/>
  <c r="G11" i="1"/>
  <c r="G9" i="1"/>
  <c r="H20" i="1"/>
  <c r="H18" i="1"/>
  <c r="H16" i="1"/>
  <c r="D17" i="57"/>
  <c r="H52" i="1" s="1"/>
  <c r="C17" i="57"/>
  <c r="H51" i="1" s="1"/>
  <c r="G8" i="40"/>
  <c r="C4" i="40"/>
  <c r="G9" i="40" s="1"/>
  <c r="D16" i="57"/>
  <c r="E26" i="43"/>
  <c r="D13" i="57"/>
  <c r="H35" i="1" s="1"/>
  <c r="C13" i="57"/>
  <c r="H36" i="1" s="1"/>
  <c r="D11" i="57"/>
  <c r="H31" i="1" s="1"/>
  <c r="C11" i="57"/>
  <c r="H32" i="1" s="1"/>
  <c r="E18" i="41"/>
  <c r="C10" i="57" s="1"/>
  <c r="H27" i="1" s="1"/>
  <c r="E26" i="41"/>
  <c r="G10" i="57" s="1"/>
  <c r="E25" i="41"/>
  <c r="H10" i="57" s="1"/>
  <c r="E23" i="41"/>
  <c r="E10" i="57" s="1"/>
  <c r="E22" i="41"/>
  <c r="F10" i="57" s="1"/>
  <c r="E20" i="41"/>
  <c r="C15" i="57" s="1"/>
  <c r="H44" i="1" s="1"/>
  <c r="C6" i="57"/>
  <c r="H11" i="1" s="1"/>
  <c r="D7" i="57"/>
  <c r="H14" i="1" s="1"/>
  <c r="C7" i="57"/>
  <c r="H15" i="1" s="1"/>
  <c r="E28" i="2"/>
  <c r="C8" i="57" s="1"/>
  <c r="H19" i="1" s="1"/>
  <c r="E27" i="2"/>
  <c r="H6" i="57"/>
  <c r="G6" i="57"/>
  <c r="F6" i="57"/>
  <c r="E6" i="57"/>
  <c r="D6" i="57"/>
  <c r="H10" i="1" s="1"/>
  <c r="E8" i="57" l="1"/>
  <c r="H15" i="58" s="1"/>
  <c r="G8" i="57"/>
  <c r="H15" i="60" s="1"/>
  <c r="H8" i="1"/>
  <c r="H50" i="1"/>
  <c r="H12" i="1"/>
  <c r="H25" i="1"/>
  <c r="H30" i="1"/>
  <c r="H19" i="60"/>
  <c r="H17" i="60"/>
  <c r="H37" i="1"/>
  <c r="H11" i="58"/>
  <c r="H9" i="58"/>
  <c r="H11" i="60"/>
  <c r="H9" i="60"/>
  <c r="H13" i="58"/>
  <c r="H20" i="58"/>
  <c r="H18" i="58"/>
  <c r="H38" i="1"/>
  <c r="H46" i="1"/>
  <c r="H8" i="58"/>
  <c r="H10" i="58"/>
  <c r="H10" i="60"/>
  <c r="H8" i="60"/>
  <c r="H19" i="58"/>
  <c r="H17" i="58"/>
  <c r="H9" i="1"/>
  <c r="H13" i="1"/>
  <c r="H17" i="1"/>
  <c r="H29" i="1"/>
  <c r="H49" i="1"/>
  <c r="H20" i="60"/>
  <c r="H18" i="60"/>
  <c r="H13" i="60" l="1"/>
  <c r="I16" i="40"/>
  <c r="M6" i="41" l="1"/>
  <c r="N45" i="1" s="1"/>
  <c r="L6" i="41"/>
  <c r="N44" i="1" s="1"/>
  <c r="M7" i="41"/>
  <c r="M45" i="1" s="1"/>
  <c r="L7" i="41"/>
  <c r="H6" i="41"/>
  <c r="N43" i="1" l="1"/>
  <c r="M43" i="1"/>
  <c r="M44" i="1"/>
  <c r="K18" i="60"/>
  <c r="T18" i="60" s="1"/>
  <c r="K17" i="60"/>
  <c r="T17" i="60" s="1"/>
  <c r="K17" i="58"/>
  <c r="T17" i="58" s="1"/>
  <c r="K18" i="58"/>
  <c r="T18" i="58" s="1"/>
  <c r="M46" i="1"/>
  <c r="N46" i="1"/>
  <c r="E28" i="61" l="1"/>
  <c r="AC18" i="60"/>
  <c r="AL18" i="60" s="1"/>
  <c r="AC17" i="60"/>
  <c r="F28" i="61"/>
  <c r="E28" i="59"/>
  <c r="AC18" i="58"/>
  <c r="AL18" i="58" s="1"/>
  <c r="AC17" i="58"/>
  <c r="F28" i="59"/>
  <c r="B20" i="2"/>
  <c r="B11" i="2"/>
  <c r="B21" i="2" s="1"/>
  <c r="C20" i="2"/>
  <c r="D28" i="61" l="1"/>
  <c r="AL17" i="60"/>
  <c r="C28" i="61" s="1"/>
  <c r="D28" i="59"/>
  <c r="AL17" i="58"/>
  <c r="C28" i="59" s="1"/>
  <c r="J14" i="60"/>
  <c r="R14" i="60" s="1"/>
  <c r="J15" i="60"/>
  <c r="R15" i="60" s="1"/>
  <c r="J14" i="58"/>
  <c r="R14" i="58" s="1"/>
  <c r="J15" i="58"/>
  <c r="R15" i="58" s="1"/>
  <c r="I14" i="60"/>
  <c r="P14" i="60" s="1"/>
  <c r="I15" i="60"/>
  <c r="P15" i="60" s="1"/>
  <c r="I14" i="58"/>
  <c r="P14" i="58" s="1"/>
  <c r="I15" i="58"/>
  <c r="P15" i="58" s="1"/>
  <c r="I13" i="60"/>
  <c r="P13" i="60" s="1"/>
  <c r="I12" i="60"/>
  <c r="P12" i="60" s="1"/>
  <c r="I13" i="58"/>
  <c r="P13" i="58" s="1"/>
  <c r="I12" i="58"/>
  <c r="P12" i="58" s="1"/>
  <c r="J13" i="60"/>
  <c r="R13" i="60" s="1"/>
  <c r="J12" i="60"/>
  <c r="R12" i="60" s="1"/>
  <c r="J13" i="58"/>
  <c r="R13" i="58" s="1"/>
  <c r="J12" i="58"/>
  <c r="R12" i="58" s="1"/>
  <c r="F18" i="59" l="1"/>
  <c r="AA12" i="58"/>
  <c r="Y12" i="58"/>
  <c r="F17" i="59"/>
  <c r="I17" i="59"/>
  <c r="Y15" i="58"/>
  <c r="AH15" i="58" s="1"/>
  <c r="AA15" i="58"/>
  <c r="AJ15" i="58" s="1"/>
  <c r="I18" i="59"/>
  <c r="E18" i="59"/>
  <c r="AA13" i="58"/>
  <c r="AJ13" i="58" s="1"/>
  <c r="Y13" i="58"/>
  <c r="AH13" i="58" s="1"/>
  <c r="E17" i="59"/>
  <c r="J17" i="59"/>
  <c r="Y14" i="58"/>
  <c r="J18" i="59"/>
  <c r="AA14" i="58"/>
  <c r="F18" i="61"/>
  <c r="AA12" i="60"/>
  <c r="F17" i="61"/>
  <c r="Y12" i="60"/>
  <c r="I17" i="61"/>
  <c r="Y15" i="60"/>
  <c r="AH15" i="60" s="1"/>
  <c r="I18" i="61"/>
  <c r="AA15" i="60"/>
  <c r="AJ15" i="60" s="1"/>
  <c r="E18" i="61"/>
  <c r="AA13" i="60"/>
  <c r="AJ13" i="60" s="1"/>
  <c r="Y13" i="60"/>
  <c r="AH13" i="60" s="1"/>
  <c r="E17" i="61"/>
  <c r="J17" i="61"/>
  <c r="Y14" i="60"/>
  <c r="J18" i="61"/>
  <c r="AA14" i="60"/>
  <c r="B16" i="21"/>
  <c r="H18" i="61" l="1"/>
  <c r="AJ14" i="60"/>
  <c r="G18" i="61" s="1"/>
  <c r="D17" i="61"/>
  <c r="AH12" i="60"/>
  <c r="C17" i="61" s="1"/>
  <c r="H18" i="59"/>
  <c r="AJ14" i="58"/>
  <c r="G18" i="59" s="1"/>
  <c r="AH12" i="58"/>
  <c r="C17" i="59" s="1"/>
  <c r="D17" i="59"/>
  <c r="H17" i="61"/>
  <c r="AH14" i="60"/>
  <c r="G17" i="61" s="1"/>
  <c r="D18" i="61"/>
  <c r="AJ12" i="60"/>
  <c r="C18" i="61" s="1"/>
  <c r="AH14" i="58"/>
  <c r="G17" i="59" s="1"/>
  <c r="H17" i="59"/>
  <c r="D18" i="59"/>
  <c r="AJ12" i="58"/>
  <c r="C18" i="59" s="1"/>
  <c r="B17" i="40"/>
  <c r="I15" i="40" s="1"/>
  <c r="C17" i="40"/>
  <c r="J16" i="40"/>
  <c r="I9" i="41"/>
  <c r="I8" i="41"/>
  <c r="I7" i="41"/>
  <c r="I6" i="41"/>
  <c r="H9" i="41"/>
  <c r="H8" i="41"/>
  <c r="H7" i="41"/>
  <c r="H15" i="44"/>
  <c r="L40" i="1" s="1"/>
  <c r="H14" i="44"/>
  <c r="K40" i="1" s="1"/>
  <c r="K19" i="60" l="1"/>
  <c r="T19" i="60" s="1"/>
  <c r="K20" i="60"/>
  <c r="T20" i="60" s="1"/>
  <c r="K19" i="58"/>
  <c r="T19" i="58" s="1"/>
  <c r="K20" i="58"/>
  <c r="T20" i="58" s="1"/>
  <c r="O19" i="60"/>
  <c r="X19" i="60" s="1"/>
  <c r="O20" i="60"/>
  <c r="X20" i="60" s="1"/>
  <c r="O19" i="58"/>
  <c r="X19" i="58" s="1"/>
  <c r="O20" i="58"/>
  <c r="X20" i="58" s="1"/>
  <c r="M19" i="60"/>
  <c r="V19" i="60" s="1"/>
  <c r="M20" i="60"/>
  <c r="V20" i="60" s="1"/>
  <c r="M19" i="58"/>
  <c r="V19" i="58" s="1"/>
  <c r="M20" i="58"/>
  <c r="V20" i="58" s="1"/>
  <c r="O18" i="60"/>
  <c r="X18" i="60" s="1"/>
  <c r="O17" i="60"/>
  <c r="X17" i="60" s="1"/>
  <c r="O18" i="58"/>
  <c r="X18" i="58" s="1"/>
  <c r="O17" i="58"/>
  <c r="X17" i="58" s="1"/>
  <c r="M18" i="60"/>
  <c r="V18" i="60" s="1"/>
  <c r="M17" i="60"/>
  <c r="V17" i="60" s="1"/>
  <c r="M18" i="58"/>
  <c r="V18" i="58" s="1"/>
  <c r="M17" i="58"/>
  <c r="V17" i="58" s="1"/>
  <c r="N18" i="60"/>
  <c r="W18" i="60" s="1"/>
  <c r="N17" i="60"/>
  <c r="W17" i="60" s="1"/>
  <c r="N17" i="58"/>
  <c r="W17" i="58" s="1"/>
  <c r="N18" i="58"/>
  <c r="W18" i="58" s="1"/>
  <c r="N19" i="60"/>
  <c r="W19" i="60" s="1"/>
  <c r="N20" i="60"/>
  <c r="W20" i="60" s="1"/>
  <c r="N19" i="58"/>
  <c r="W19" i="58" s="1"/>
  <c r="N20" i="58"/>
  <c r="W20" i="58" s="1"/>
  <c r="D14" i="38"/>
  <c r="E14" i="38" l="1"/>
  <c r="C16" i="57" s="1"/>
  <c r="I26" i="59"/>
  <c r="AE20" i="58"/>
  <c r="AN20" i="58" s="1"/>
  <c r="J27" i="59"/>
  <c r="AF19" i="58"/>
  <c r="E29" i="59"/>
  <c r="AG18" i="58"/>
  <c r="AP18" i="58" s="1"/>
  <c r="J28" i="59"/>
  <c r="AC19" i="58"/>
  <c r="E27" i="59"/>
  <c r="AF18" i="58"/>
  <c r="AO18" i="58" s="1"/>
  <c r="AG17" i="58"/>
  <c r="F29" i="59"/>
  <c r="AC20" i="58"/>
  <c r="AL20" i="58" s="1"/>
  <c r="I28" i="59"/>
  <c r="AF17" i="58"/>
  <c r="F27" i="59"/>
  <c r="J26" i="59"/>
  <c r="AE19" i="58"/>
  <c r="I27" i="61"/>
  <c r="AF20" i="60"/>
  <c r="AO20" i="60" s="1"/>
  <c r="F27" i="61"/>
  <c r="AF17" i="60"/>
  <c r="F26" i="61"/>
  <c r="AE17" i="60"/>
  <c r="F29" i="61"/>
  <c r="AG17" i="60"/>
  <c r="I26" i="61"/>
  <c r="AE20" i="60"/>
  <c r="AN20" i="60" s="1"/>
  <c r="I29" i="61"/>
  <c r="AG20" i="60"/>
  <c r="AP20" i="60" s="1"/>
  <c r="AC20" i="60"/>
  <c r="AL20" i="60" s="1"/>
  <c r="I28" i="61"/>
  <c r="AF20" i="58"/>
  <c r="AO20" i="58" s="1"/>
  <c r="I27" i="59"/>
  <c r="AE17" i="58"/>
  <c r="F26" i="59"/>
  <c r="AG20" i="58"/>
  <c r="AP20" i="58" s="1"/>
  <c r="I29" i="59"/>
  <c r="E26" i="59"/>
  <c r="AE18" i="58"/>
  <c r="AN18" i="58" s="1"/>
  <c r="J29" i="59"/>
  <c r="AG19" i="58"/>
  <c r="J27" i="61"/>
  <c r="AF19" i="60"/>
  <c r="E27" i="61"/>
  <c r="AF18" i="60"/>
  <c r="AO18" i="60" s="1"/>
  <c r="E26" i="61"/>
  <c r="AE18" i="60"/>
  <c r="AN18" i="60" s="1"/>
  <c r="E29" i="61"/>
  <c r="AG18" i="60"/>
  <c r="AP18" i="60" s="1"/>
  <c r="J26" i="61"/>
  <c r="AE19" i="60"/>
  <c r="J29" i="61"/>
  <c r="AG19" i="60"/>
  <c r="AC19" i="60"/>
  <c r="J28" i="61"/>
  <c r="I15" i="43"/>
  <c r="H15" i="43"/>
  <c r="O27" i="1"/>
  <c r="O26" i="1"/>
  <c r="O25" i="1"/>
  <c r="O24" i="1"/>
  <c r="M27" i="1"/>
  <c r="M26" i="1"/>
  <c r="M25" i="1"/>
  <c r="M24" i="1"/>
  <c r="K17" i="51"/>
  <c r="K16" i="51"/>
  <c r="I6" i="45"/>
  <c r="I5" i="45"/>
  <c r="M10" i="1" s="1"/>
  <c r="H5" i="45"/>
  <c r="H6" i="45"/>
  <c r="N30" i="1" l="1"/>
  <c r="N29" i="1"/>
  <c r="N36" i="1"/>
  <c r="N35" i="1"/>
  <c r="N38" i="1"/>
  <c r="N32" i="1"/>
  <c r="N37" i="1"/>
  <c r="N31" i="1"/>
  <c r="M11" i="1"/>
  <c r="H26" i="61"/>
  <c r="AN19" i="60"/>
  <c r="G26" i="61" s="1"/>
  <c r="H27" i="61"/>
  <c r="AO19" i="60"/>
  <c r="G27" i="61" s="1"/>
  <c r="H28" i="61"/>
  <c r="AL19" i="60"/>
  <c r="G28" i="61" s="1"/>
  <c r="D26" i="59"/>
  <c r="AN17" i="58"/>
  <c r="C26" i="59" s="1"/>
  <c r="AO17" i="58"/>
  <c r="C27" i="59" s="1"/>
  <c r="D27" i="59"/>
  <c r="D29" i="59"/>
  <c r="AP17" i="58"/>
  <c r="C29" i="59" s="1"/>
  <c r="AN17" i="60"/>
  <c r="C26" i="61" s="1"/>
  <c r="D26" i="61"/>
  <c r="H27" i="59"/>
  <c r="AO19" i="58"/>
  <c r="G27" i="59" s="1"/>
  <c r="AP19" i="60"/>
  <c r="G29" i="61" s="1"/>
  <c r="H29" i="61"/>
  <c r="H29" i="59"/>
  <c r="AP19" i="58"/>
  <c r="G29" i="59" s="1"/>
  <c r="D29" i="61"/>
  <c r="AP17" i="60"/>
  <c r="C29" i="61" s="1"/>
  <c r="AO17" i="60"/>
  <c r="C27" i="61" s="1"/>
  <c r="D27" i="61"/>
  <c r="H26" i="59"/>
  <c r="AN19" i="58"/>
  <c r="G26" i="59" s="1"/>
  <c r="H28" i="59"/>
  <c r="AL19" i="58"/>
  <c r="G28" i="59" s="1"/>
  <c r="K10" i="60"/>
  <c r="T10" i="60" s="1"/>
  <c r="K11" i="60"/>
  <c r="T11" i="60" s="1"/>
  <c r="K10" i="58"/>
  <c r="T10" i="58" s="1"/>
  <c r="K11" i="58"/>
  <c r="T11" i="58" s="1"/>
  <c r="K11" i="1"/>
  <c r="K9" i="60"/>
  <c r="T9" i="60" s="1"/>
  <c r="K8" i="60"/>
  <c r="T8" i="60" s="1"/>
  <c r="K9" i="58"/>
  <c r="T9" i="58" s="1"/>
  <c r="K8" i="58"/>
  <c r="T8" i="58" s="1"/>
  <c r="M8" i="60"/>
  <c r="V8" i="60" s="1"/>
  <c r="M9" i="60"/>
  <c r="V9" i="60" s="1"/>
  <c r="M9" i="58"/>
  <c r="V9" i="58" s="1"/>
  <c r="M8" i="58"/>
  <c r="V8" i="58" s="1"/>
  <c r="M10" i="60"/>
  <c r="V10" i="60" s="1"/>
  <c r="M11" i="60"/>
  <c r="V11" i="60" s="1"/>
  <c r="M10" i="58"/>
  <c r="V10" i="58" s="1"/>
  <c r="M11" i="58"/>
  <c r="V11" i="58" s="1"/>
  <c r="K10" i="1"/>
  <c r="I8" i="61" l="1"/>
  <c r="AE11" i="60"/>
  <c r="AN11" i="60" s="1"/>
  <c r="AC8" i="60"/>
  <c r="F9" i="61"/>
  <c r="I9" i="61"/>
  <c r="AC11" i="60"/>
  <c r="AL11" i="60" s="1"/>
  <c r="J8" i="59"/>
  <c r="AE10" i="58"/>
  <c r="E8" i="59"/>
  <c r="AE9" i="58"/>
  <c r="AN9" i="58" s="1"/>
  <c r="E9" i="59"/>
  <c r="AC9" i="58"/>
  <c r="AL9" i="58" s="1"/>
  <c r="AC11" i="58"/>
  <c r="AL11" i="58" s="1"/>
  <c r="I9" i="59"/>
  <c r="E8" i="61"/>
  <c r="AE9" i="60"/>
  <c r="AN9" i="60" s="1"/>
  <c r="J9" i="59"/>
  <c r="AC10" i="58"/>
  <c r="AE10" i="60"/>
  <c r="J8" i="61"/>
  <c r="AE8" i="60"/>
  <c r="F8" i="61"/>
  <c r="AC9" i="60"/>
  <c r="AL9" i="60" s="1"/>
  <c r="E9" i="61"/>
  <c r="AE11" i="58"/>
  <c r="AN11" i="58" s="1"/>
  <c r="I8" i="59"/>
  <c r="F8" i="59"/>
  <c r="AE8" i="58"/>
  <c r="F9" i="59"/>
  <c r="AC8" i="58"/>
  <c r="AC10" i="60"/>
  <c r="J9" i="61"/>
  <c r="D8" i="59" l="1"/>
  <c r="AN8" i="58"/>
  <c r="C8" i="59" s="1"/>
  <c r="AN10" i="58"/>
  <c r="G8" i="59" s="1"/>
  <c r="H8" i="59"/>
  <c r="H9" i="61"/>
  <c r="AL10" i="60"/>
  <c r="G9" i="61" s="1"/>
  <c r="H8" i="61"/>
  <c r="AN10" i="60"/>
  <c r="G8" i="61" s="1"/>
  <c r="AL8" i="60"/>
  <c r="C9" i="61" s="1"/>
  <c r="D9" i="61"/>
  <c r="H9" i="59"/>
  <c r="AL10" i="58"/>
  <c r="G9" i="59" s="1"/>
  <c r="AL8" i="58"/>
  <c r="C9" i="59" s="1"/>
  <c r="D9" i="59"/>
  <c r="D8" i="61"/>
  <c r="AN8" i="60"/>
  <c r="C8" i="61" s="1"/>
  <c r="G33" i="51"/>
  <c r="G32" i="51"/>
  <c r="K9" i="51"/>
  <c r="K8" i="51"/>
  <c r="J52" i="1"/>
  <c r="J51" i="1"/>
  <c r="M50" i="1"/>
  <c r="M49" i="1"/>
  <c r="J50" i="1"/>
  <c r="J49" i="1"/>
  <c r="J15" i="40"/>
  <c r="M51" i="1" s="1"/>
  <c r="E19" i="41"/>
  <c r="D15" i="57" s="1"/>
  <c r="K27" i="1"/>
  <c r="K26" i="1"/>
  <c r="N27" i="1"/>
  <c r="N26" i="1"/>
  <c r="D10" i="57"/>
  <c r="E40" i="10"/>
  <c r="E39" i="10"/>
  <c r="M52" i="1" l="1"/>
  <c r="H26" i="1"/>
  <c r="H24" i="1"/>
  <c r="H43" i="1"/>
  <c r="H45" i="1"/>
  <c r="C9" i="57"/>
  <c r="H21" i="1" s="1"/>
  <c r="F46" i="1"/>
  <c r="W46" i="1" s="1"/>
  <c r="F45" i="1"/>
  <c r="F44" i="1"/>
  <c r="F43" i="1"/>
  <c r="DF6" i="54"/>
  <c r="DC6" i="54"/>
  <c r="DD6" i="54" s="1"/>
  <c r="CV6" i="54"/>
  <c r="CK6" i="54"/>
  <c r="CL6" i="54" s="1"/>
  <c r="CC6" i="54"/>
  <c r="CE6" i="54" s="1"/>
  <c r="BC6" i="54"/>
  <c r="AY6" i="54"/>
  <c r="AZ6" i="54" s="1"/>
  <c r="DF5" i="54"/>
  <c r="DC5" i="54"/>
  <c r="DD5" i="54" s="1"/>
  <c r="CV5" i="54"/>
  <c r="CK5" i="54"/>
  <c r="CC5" i="54"/>
  <c r="CE5" i="54" s="1"/>
  <c r="BC5" i="54"/>
  <c r="AY5" i="54"/>
  <c r="AY6" i="38"/>
  <c r="D21" i="38" s="1"/>
  <c r="AY5" i="38"/>
  <c r="J19" i="1"/>
  <c r="J18" i="1"/>
  <c r="I19" i="1"/>
  <c r="I18" i="1"/>
  <c r="J17" i="1"/>
  <c r="J16" i="1"/>
  <c r="I17" i="1"/>
  <c r="I16" i="1"/>
  <c r="J15" i="1"/>
  <c r="J14" i="1"/>
  <c r="I15" i="1"/>
  <c r="I14" i="1"/>
  <c r="I13" i="1"/>
  <c r="I12" i="1"/>
  <c r="CD6" i="54" l="1"/>
  <c r="V45" i="1"/>
  <c r="DH6" i="54"/>
  <c r="DG6" i="54"/>
  <c r="BE6" i="54"/>
  <c r="BD6" i="54"/>
  <c r="CX6" i="54"/>
  <c r="CW6" i="54"/>
  <c r="CD5" i="54"/>
  <c r="CW5" i="54"/>
  <c r="CX5" i="54"/>
  <c r="BD5" i="54"/>
  <c r="BE5" i="54"/>
  <c r="DG5" i="54"/>
  <c r="DH5" i="54"/>
  <c r="AZ6" i="38"/>
  <c r="F21" i="38" s="1"/>
  <c r="BA6" i="38"/>
  <c r="E21" i="38" s="1"/>
  <c r="AZ5" i="38"/>
  <c r="BA5" i="38"/>
  <c r="V46" i="1"/>
  <c r="V43" i="1"/>
  <c r="V44" i="1"/>
  <c r="AE44" i="1" s="1"/>
  <c r="AN44" i="1" s="1"/>
  <c r="W45" i="1"/>
  <c r="W44" i="1"/>
  <c r="AZ5" i="54"/>
  <c r="CL5" i="54"/>
  <c r="E89" i="51" l="1"/>
  <c r="J12" i="1"/>
  <c r="J13" i="1"/>
  <c r="AE45" i="1"/>
  <c r="J89" i="51"/>
  <c r="AE46" i="1"/>
  <c r="AN46" i="1" s="1"/>
  <c r="I89" i="51"/>
  <c r="AF44" i="1"/>
  <c r="AO44" i="1" s="1"/>
  <c r="E90" i="51"/>
  <c r="AN45" i="1" l="1"/>
  <c r="G89" i="51" s="1"/>
  <c r="H89" i="51"/>
  <c r="J21" i="1"/>
  <c r="J20" i="1"/>
  <c r="C10" i="46" l="1"/>
  <c r="B22" i="39"/>
  <c r="B30" i="18" l="1"/>
  <c r="B25" i="18" l="1"/>
  <c r="B7" i="18" l="1"/>
  <c r="B6" i="18"/>
  <c r="K90" i="51" l="1"/>
  <c r="K89" i="51"/>
  <c r="K62" i="51"/>
  <c r="K61" i="51"/>
  <c r="K54" i="51"/>
  <c r="K53" i="51"/>
  <c r="K52" i="51"/>
  <c r="K51" i="51"/>
  <c r="I21" i="1" l="1"/>
  <c r="I20" i="1"/>
  <c r="N16" i="20"/>
  <c r="K25" i="51" l="1"/>
  <c r="K24" i="51"/>
  <c r="G19" i="20" l="1"/>
  <c r="G14" i="20"/>
  <c r="I22" i="39" l="1"/>
  <c r="I21" i="39"/>
  <c r="I20" i="39"/>
  <c r="B10" i="46"/>
  <c r="B12" i="39" l="1"/>
  <c r="B8" i="39"/>
  <c r="B9" i="39" s="1"/>
  <c r="B14" i="39" s="1"/>
  <c r="B20" i="18" l="1"/>
  <c r="D4" i="1" l="1"/>
  <c r="F11" i="1" l="1"/>
  <c r="V11" i="1" s="1"/>
  <c r="F10" i="1"/>
  <c r="V10" i="1" s="1"/>
  <c r="F50" i="1"/>
  <c r="V50" i="1" s="1"/>
  <c r="F51" i="1"/>
  <c r="F52" i="1"/>
  <c r="F49" i="1"/>
  <c r="F32" i="1"/>
  <c r="F30" i="1"/>
  <c r="F38" i="1"/>
  <c r="G41" i="1" s="1"/>
  <c r="F26" i="1"/>
  <c r="V26" i="1" s="1"/>
  <c r="J51" i="51" s="1"/>
  <c r="F21" i="1"/>
  <c r="P21" i="1" s="1"/>
  <c r="Y21" i="1" s="1"/>
  <c r="F17" i="1"/>
  <c r="P17" i="1" s="1"/>
  <c r="Y17" i="1" s="1"/>
  <c r="F25" i="1"/>
  <c r="V25" i="1" s="1"/>
  <c r="E51" i="51" s="1"/>
  <c r="F15" i="1"/>
  <c r="F37" i="1"/>
  <c r="F27" i="1"/>
  <c r="V27" i="1" s="1"/>
  <c r="I51" i="51" s="1"/>
  <c r="F36" i="1"/>
  <c r="G40" i="1" s="1"/>
  <c r="F19" i="1"/>
  <c r="P19" i="1" s="1"/>
  <c r="Y19" i="1" s="1"/>
  <c r="F13" i="1"/>
  <c r="F8" i="1"/>
  <c r="F9" i="1"/>
  <c r="F35" i="1"/>
  <c r="F47" i="1"/>
  <c r="F20" i="1"/>
  <c r="P20" i="1" s="1"/>
  <c r="Y20" i="1" s="1"/>
  <c r="B4" i="39"/>
  <c r="B3" i="15"/>
  <c r="B4" i="15" s="1"/>
  <c r="F14" i="1"/>
  <c r="F31" i="1"/>
  <c r="F12" i="1"/>
  <c r="F24" i="1"/>
  <c r="V24" i="1" s="1"/>
  <c r="F16" i="1"/>
  <c r="P16" i="1" s="1"/>
  <c r="Y16" i="1" s="1"/>
  <c r="AH16" i="1" s="1"/>
  <c r="F29" i="1"/>
  <c r="F18" i="1"/>
  <c r="P18" i="1" s="1"/>
  <c r="Y18" i="1" s="1"/>
  <c r="K14" i="57" l="1"/>
  <c r="G82" i="51"/>
  <c r="U40" i="1"/>
  <c r="G81" i="51"/>
  <c r="T40" i="1"/>
  <c r="G80" i="51"/>
  <c r="J14" i="57"/>
  <c r="L82" i="51"/>
  <c r="L80" i="51"/>
  <c r="L81" i="51"/>
  <c r="U41" i="1"/>
  <c r="T41" i="1"/>
  <c r="T10" i="1"/>
  <c r="T11" i="1"/>
  <c r="R18" i="1"/>
  <c r="AA18" i="1" s="1"/>
  <c r="R19" i="1"/>
  <c r="R16" i="1"/>
  <c r="AA16" i="1" s="1"/>
  <c r="R20" i="1"/>
  <c r="AA20" i="1" s="1"/>
  <c r="R17" i="1"/>
  <c r="W30" i="1"/>
  <c r="R21" i="1"/>
  <c r="W32" i="1"/>
  <c r="R13" i="1"/>
  <c r="P13" i="1"/>
  <c r="AE27" i="1"/>
  <c r="AN27" i="1" s="1"/>
  <c r="AE26" i="1"/>
  <c r="P15" i="1"/>
  <c r="R15" i="1"/>
  <c r="AE25" i="1"/>
  <c r="AN25" i="1" s="1"/>
  <c r="B15" i="39"/>
  <c r="B16" i="18"/>
  <c r="J82" i="51" l="1"/>
  <c r="AD41" i="1"/>
  <c r="J81" i="51"/>
  <c r="AC41" i="1"/>
  <c r="E82" i="51"/>
  <c r="AD40" i="1"/>
  <c r="E81" i="51"/>
  <c r="AC40" i="1"/>
  <c r="I8" i="51"/>
  <c r="AE11" i="1"/>
  <c r="AN11" i="1" s="1"/>
  <c r="J8" i="51"/>
  <c r="AE10" i="1"/>
  <c r="AC11" i="1"/>
  <c r="AL11" i="1" s="1"/>
  <c r="I9" i="51"/>
  <c r="AC10" i="1"/>
  <c r="J9" i="51"/>
  <c r="AF30" i="1"/>
  <c r="AO30" i="1" s="1"/>
  <c r="E62" i="51"/>
  <c r="AH17" i="1"/>
  <c r="E24" i="51"/>
  <c r="AA19" i="1"/>
  <c r="AJ19" i="1" s="1"/>
  <c r="I25" i="51"/>
  <c r="AF32" i="1"/>
  <c r="AO32" i="1" s="1"/>
  <c r="I62" i="51"/>
  <c r="AA17" i="1"/>
  <c r="AJ17" i="1" s="1"/>
  <c r="E25" i="51"/>
  <c r="AH21" i="1"/>
  <c r="E32" i="51"/>
  <c r="AA21" i="1"/>
  <c r="AJ21" i="1" s="1"/>
  <c r="E33" i="51"/>
  <c r="AH19" i="1"/>
  <c r="I24" i="51"/>
  <c r="AN26" i="1"/>
  <c r="G51" i="51" s="1"/>
  <c r="H51" i="51"/>
  <c r="Y15" i="1"/>
  <c r="AH15" i="1" s="1"/>
  <c r="I16" i="51"/>
  <c r="AA15" i="1"/>
  <c r="AJ15" i="1" s="1"/>
  <c r="I17" i="51"/>
  <c r="AA13" i="1"/>
  <c r="AJ13" i="1" s="1"/>
  <c r="E17" i="51"/>
  <c r="Y13" i="1"/>
  <c r="AH13" i="1" s="1"/>
  <c r="E16" i="51"/>
  <c r="T27" i="1"/>
  <c r="K24" i="1"/>
  <c r="T26" i="1"/>
  <c r="K25" i="1"/>
  <c r="T25" i="1" s="1"/>
  <c r="F33" i="51"/>
  <c r="F32" i="51"/>
  <c r="D81" i="51" l="1"/>
  <c r="AL40" i="1"/>
  <c r="C81" i="51" s="1"/>
  <c r="D82" i="51"/>
  <c r="AM40" i="1"/>
  <c r="C82" i="51" s="1"/>
  <c r="I82" i="51"/>
  <c r="AM41" i="1"/>
  <c r="H82" i="51" s="1"/>
  <c r="I81" i="51"/>
  <c r="AL41" i="1"/>
  <c r="H81" i="51" s="1"/>
  <c r="AL10" i="1"/>
  <c r="G9" i="51" s="1"/>
  <c r="H9" i="51"/>
  <c r="AN10" i="1"/>
  <c r="G8" i="51" s="1"/>
  <c r="H8" i="51"/>
  <c r="AC26" i="1"/>
  <c r="J53" i="51"/>
  <c r="AC27" i="1"/>
  <c r="AL27" i="1" s="1"/>
  <c r="I53" i="51"/>
  <c r="AC25" i="1"/>
  <c r="AL25" i="1" s="1"/>
  <c r="E53" i="51"/>
  <c r="D32" i="51"/>
  <c r="AH20" i="1"/>
  <c r="C32" i="51" s="1"/>
  <c r="AJ20" i="1"/>
  <c r="C33" i="51" s="1"/>
  <c r="D33" i="51"/>
  <c r="B21" i="21"/>
  <c r="B20" i="21"/>
  <c r="B19" i="21"/>
  <c r="B18" i="21"/>
  <c r="B17" i="21"/>
  <c r="B15" i="21"/>
  <c r="B14" i="21"/>
  <c r="B13" i="21"/>
  <c r="B12" i="21"/>
  <c r="AL26" i="1" l="1"/>
  <c r="G53" i="51" s="1"/>
  <c r="H53" i="51"/>
  <c r="F20" i="20"/>
  <c r="F18" i="20"/>
  <c r="F19" i="20"/>
  <c r="D18" i="20"/>
  <c r="D19" i="20"/>
  <c r="C20" i="20"/>
  <c r="C19" i="20"/>
  <c r="C18" i="20"/>
  <c r="F5" i="44"/>
  <c r="C8" i="43"/>
  <c r="F6" i="43"/>
  <c r="F7" i="43"/>
  <c r="F5" i="43"/>
  <c r="F8" i="43" l="1"/>
  <c r="C8" i="44"/>
  <c r="F8" i="44" s="1"/>
  <c r="C13" i="44" s="1"/>
  <c r="I13" i="44" s="1"/>
  <c r="M41" i="1" s="1"/>
  <c r="V41" i="1" s="1"/>
  <c r="C14" i="43"/>
  <c r="I14" i="43" s="1"/>
  <c r="B14" i="43"/>
  <c r="H14" i="43" s="1"/>
  <c r="K9" i="1"/>
  <c r="T9" i="1" s="1"/>
  <c r="E9" i="51" s="1"/>
  <c r="K8" i="1"/>
  <c r="T8" i="1" s="1"/>
  <c r="M8" i="1"/>
  <c r="V8" i="1" s="1"/>
  <c r="M9" i="1"/>
  <c r="V9" i="1" s="1"/>
  <c r="R50" i="1"/>
  <c r="R52" i="1"/>
  <c r="R51" i="1"/>
  <c r="X27" i="1"/>
  <c r="X26" i="1"/>
  <c r="X25" i="1"/>
  <c r="W43" i="1"/>
  <c r="F90" i="51" s="1"/>
  <c r="W27" i="1"/>
  <c r="W26" i="1"/>
  <c r="N25" i="1"/>
  <c r="W25" i="1" s="1"/>
  <c r="N24" i="1"/>
  <c r="L20" i="20"/>
  <c r="X24" i="1"/>
  <c r="J20" i="20"/>
  <c r="H20" i="20"/>
  <c r="F6" i="44"/>
  <c r="B13" i="44" s="1"/>
  <c r="H13" i="44" s="1"/>
  <c r="M40" i="1" s="1"/>
  <c r="V40" i="1" s="1"/>
  <c r="T24" i="1"/>
  <c r="M38" i="1" l="1"/>
  <c r="M37" i="1"/>
  <c r="M32" i="1"/>
  <c r="V32" i="1" s="1"/>
  <c r="AE32" i="1" s="1"/>
  <c r="AN32" i="1" s="1"/>
  <c r="M31" i="1"/>
  <c r="AE40" i="1"/>
  <c r="E80" i="51"/>
  <c r="J80" i="51"/>
  <c r="AE41" i="1"/>
  <c r="M30" i="1"/>
  <c r="V30" i="1" s="1"/>
  <c r="M29" i="1"/>
  <c r="V29" i="1" s="1"/>
  <c r="M36" i="1"/>
  <c r="M35" i="1"/>
  <c r="AA51" i="1"/>
  <c r="AJ51" i="1" s="1"/>
  <c r="I111" i="51"/>
  <c r="AA52" i="1"/>
  <c r="AJ52" i="1" s="1"/>
  <c r="J111" i="51"/>
  <c r="AA50" i="1"/>
  <c r="AJ50" i="1" s="1"/>
  <c r="F111" i="51"/>
  <c r="R49" i="1"/>
  <c r="E111" i="51" s="1"/>
  <c r="V49" i="1"/>
  <c r="E112" i="51" s="1"/>
  <c r="W24" i="1"/>
  <c r="F52" i="51" s="1"/>
  <c r="AC8" i="1"/>
  <c r="D9" i="51" s="1"/>
  <c r="F9" i="51"/>
  <c r="AC9" i="1"/>
  <c r="AL9" i="1" s="1"/>
  <c r="V51" i="1"/>
  <c r="I112" i="51" s="1"/>
  <c r="V52" i="1"/>
  <c r="J112" i="51" s="1"/>
  <c r="F112" i="51"/>
  <c r="AF46" i="1"/>
  <c r="AO46" i="1" s="1"/>
  <c r="I90" i="51"/>
  <c r="AF26" i="1"/>
  <c r="J52" i="51"/>
  <c r="AF27" i="1"/>
  <c r="AO27" i="1" s="1"/>
  <c r="I52" i="51"/>
  <c r="AF45" i="1"/>
  <c r="J90" i="51"/>
  <c r="AF25" i="1"/>
  <c r="AO25" i="1" s="1"/>
  <c r="E52" i="51"/>
  <c r="AG26" i="1"/>
  <c r="J54" i="51"/>
  <c r="AG27" i="1"/>
  <c r="AP27" i="1" s="1"/>
  <c r="I54" i="51"/>
  <c r="AG25" i="1"/>
  <c r="AP25" i="1" s="1"/>
  <c r="E54" i="51"/>
  <c r="K112" i="51"/>
  <c r="K111" i="51"/>
  <c r="AE43" i="1"/>
  <c r="D89" i="51" s="1"/>
  <c r="F89" i="51"/>
  <c r="AC24" i="1"/>
  <c r="F53" i="51"/>
  <c r="AE24" i="1"/>
  <c r="D51" i="51" s="1"/>
  <c r="F51" i="51"/>
  <c r="AG24" i="1"/>
  <c r="D54" i="51" s="1"/>
  <c r="F54" i="51"/>
  <c r="D20" i="20"/>
  <c r="AF43" i="1"/>
  <c r="N20" i="20"/>
  <c r="I80" i="51" l="1"/>
  <c r="AN41" i="1"/>
  <c r="H80" i="51" s="1"/>
  <c r="I61" i="51"/>
  <c r="D80" i="51"/>
  <c r="AN40" i="1"/>
  <c r="C80" i="51" s="1"/>
  <c r="AE30" i="1"/>
  <c r="AN30" i="1" s="1"/>
  <c r="E61" i="51"/>
  <c r="AF24" i="1"/>
  <c r="AO24" i="1" s="1"/>
  <c r="C52" i="51" s="1"/>
  <c r="F8" i="51"/>
  <c r="AE8" i="1"/>
  <c r="AE9" i="1"/>
  <c r="AN9" i="1" s="1"/>
  <c r="E8" i="51"/>
  <c r="AL8" i="1"/>
  <c r="C9" i="51" s="1"/>
  <c r="AE50" i="1"/>
  <c r="AN50" i="1" s="1"/>
  <c r="AE51" i="1"/>
  <c r="AE52" i="1"/>
  <c r="AN52" i="1" s="1"/>
  <c r="AO45" i="1"/>
  <c r="H90" i="51"/>
  <c r="AO26" i="1"/>
  <c r="H52" i="51"/>
  <c r="AP26" i="1"/>
  <c r="G54" i="51" s="1"/>
  <c r="H54" i="51"/>
  <c r="AN24" i="1"/>
  <c r="C51" i="51" s="1"/>
  <c r="AA49" i="1"/>
  <c r="D111" i="51" s="1"/>
  <c r="AE49" i="1"/>
  <c r="AO43" i="1"/>
  <c r="C90" i="51" s="1"/>
  <c r="D90" i="51"/>
  <c r="AN43" i="1"/>
  <c r="C89" i="51" s="1"/>
  <c r="AP24" i="1"/>
  <c r="C54" i="51" s="1"/>
  <c r="AL24" i="1"/>
  <c r="C53" i="51" s="1"/>
  <c r="D53" i="51"/>
  <c r="W31" i="1"/>
  <c r="V31" i="1"/>
  <c r="W29" i="1"/>
  <c r="B23" i="39"/>
  <c r="D52" i="51" l="1"/>
  <c r="G90" i="51"/>
  <c r="G52" i="51"/>
  <c r="J62" i="51"/>
  <c r="F62" i="51"/>
  <c r="D8" i="51"/>
  <c r="AN8" i="1"/>
  <c r="C8" i="51" s="1"/>
  <c r="H111" i="51"/>
  <c r="G111" i="51"/>
  <c r="AN51" i="1"/>
  <c r="G112" i="51" s="1"/>
  <c r="H112" i="51"/>
  <c r="H19" i="20"/>
  <c r="AN49" i="1"/>
  <c r="C112" i="51" s="1"/>
  <c r="D112" i="51"/>
  <c r="AJ49" i="1"/>
  <c r="AE31" i="1"/>
  <c r="J61" i="51"/>
  <c r="AE29" i="1"/>
  <c r="F61" i="51"/>
  <c r="AF31" i="1"/>
  <c r="AF29" i="1"/>
  <c r="M19" i="20"/>
  <c r="O19" i="20"/>
  <c r="L19" i="20"/>
  <c r="J19" i="20"/>
  <c r="K19" i="20"/>
  <c r="I19" i="20"/>
  <c r="H61" i="51" l="1"/>
  <c r="D61" i="51"/>
  <c r="AN31" i="1"/>
  <c r="C111" i="51"/>
  <c r="AO29" i="1"/>
  <c r="D62" i="51"/>
  <c r="AO31" i="1"/>
  <c r="H62" i="51"/>
  <c r="AN29" i="1"/>
  <c r="N19" i="20"/>
  <c r="CX6" i="38"/>
  <c r="D24" i="38" s="1"/>
  <c r="CH5" i="38"/>
  <c r="CX5" i="38"/>
  <c r="CH6" i="38"/>
  <c r="D23" i="38" s="1"/>
  <c r="BC6" i="38"/>
  <c r="D22" i="38" s="1"/>
  <c r="BC5" i="38"/>
  <c r="CI6" i="38" l="1"/>
  <c r="F23" i="38" s="1"/>
  <c r="CJ6" i="38"/>
  <c r="E23" i="38" s="1"/>
  <c r="BD5" i="38"/>
  <c r="BE5" i="38"/>
  <c r="CJ5" i="38"/>
  <c r="CI5" i="38"/>
  <c r="BD6" i="38"/>
  <c r="F22" i="38" s="1"/>
  <c r="BE6" i="38"/>
  <c r="E22" i="38" s="1"/>
  <c r="CZ5" i="38"/>
  <c r="CY5" i="38"/>
  <c r="CY6" i="38"/>
  <c r="F24" i="38" s="1"/>
  <c r="CZ6" i="38"/>
  <c r="E24" i="38" s="1"/>
  <c r="G62" i="51"/>
  <c r="G61" i="51"/>
  <c r="C61" i="51"/>
  <c r="C62" i="51"/>
  <c r="B20" i="15" l="1"/>
  <c r="B26" i="18" l="1"/>
  <c r="B27" i="18" s="1"/>
  <c r="G11" i="15"/>
  <c r="G13" i="15" s="1"/>
  <c r="G14" i="15" s="1"/>
  <c r="L16" i="20" l="1"/>
  <c r="H16" i="20"/>
  <c r="N15" i="20"/>
  <c r="L15" i="20"/>
  <c r="L17" i="20"/>
  <c r="N17" i="20"/>
  <c r="L9" i="20"/>
  <c r="N9" i="20"/>
  <c r="L10" i="20"/>
  <c r="N10" i="20"/>
  <c r="L8" i="20"/>
  <c r="N8" i="20"/>
  <c r="N7" i="20"/>
  <c r="D17" i="20"/>
  <c r="F17" i="20"/>
  <c r="F15" i="20"/>
  <c r="F14" i="20"/>
  <c r="D9" i="20"/>
  <c r="F9" i="20"/>
  <c r="D10" i="20"/>
  <c r="F10" i="20"/>
  <c r="D11" i="20"/>
  <c r="F11" i="20"/>
  <c r="D12" i="20"/>
  <c r="F12" i="20"/>
  <c r="D8" i="20"/>
  <c r="F8" i="20"/>
  <c r="F7" i="20"/>
  <c r="D7" i="20"/>
  <c r="C17" i="20"/>
  <c r="C16" i="20"/>
  <c r="C14" i="20"/>
  <c r="C12" i="20"/>
  <c r="C11" i="20"/>
  <c r="C10" i="20"/>
  <c r="C9" i="20"/>
  <c r="C8" i="20"/>
  <c r="C7" i="20"/>
  <c r="J17" i="20"/>
  <c r="H17" i="20"/>
  <c r="C15" i="20"/>
  <c r="K15" i="20" l="1"/>
  <c r="J16" i="20"/>
  <c r="J15" i="20" l="1"/>
  <c r="G8" i="39"/>
  <c r="G9" i="39" s="1"/>
  <c r="G10" i="39" s="1"/>
  <c r="G11" i="39" s="1"/>
  <c r="B28" i="18"/>
  <c r="B29" i="18" s="1"/>
  <c r="B31" i="18" s="1"/>
  <c r="B34" i="18" s="1"/>
  <c r="B35" i="18" s="1"/>
  <c r="B5" i="18" s="1"/>
  <c r="B15" i="15"/>
  <c r="B9" i="18" l="1"/>
  <c r="H15" i="20" s="1"/>
  <c r="B10" i="18"/>
  <c r="I15" i="20" s="1"/>
  <c r="G25" i="15"/>
  <c r="G27" i="15" s="1"/>
  <c r="G28" i="15" s="1"/>
  <c r="O14" i="20"/>
  <c r="M14" i="20"/>
  <c r="K14" i="20"/>
  <c r="N14" i="20"/>
  <c r="L14" i="20"/>
  <c r="J14" i="20"/>
  <c r="H14" i="20"/>
  <c r="J12" i="20"/>
  <c r="H12" i="20"/>
  <c r="N11" i="20"/>
  <c r="L11" i="20"/>
  <c r="J11" i="20"/>
  <c r="H11" i="20"/>
  <c r="B17" i="18" l="1"/>
  <c r="B21" i="18" s="1"/>
  <c r="I14" i="20"/>
  <c r="L7" i="20"/>
  <c r="J7" i="20"/>
  <c r="H7" i="20"/>
  <c r="W37" i="1" l="1"/>
  <c r="AF37" i="1" s="1"/>
  <c r="AO37" i="1" s="1"/>
  <c r="V37" i="1"/>
  <c r="AE37" i="1" s="1"/>
  <c r="AN37" i="1" s="1"/>
  <c r="V36" i="1"/>
  <c r="W36" i="1"/>
  <c r="W35" i="1"/>
  <c r="AF35" i="1" s="1"/>
  <c r="AO35" i="1" s="1"/>
  <c r="V35" i="1"/>
  <c r="AE35" i="1" s="1"/>
  <c r="AN35" i="1" s="1"/>
  <c r="W38" i="1"/>
  <c r="V38" i="1"/>
  <c r="E14" i="20"/>
  <c r="D14" i="20"/>
  <c r="R5" i="16"/>
  <c r="G9" i="16" s="1"/>
  <c r="AF36" i="1" l="1"/>
  <c r="E74" i="51"/>
  <c r="J73" i="51"/>
  <c r="AE38" i="1"/>
  <c r="E73" i="51"/>
  <c r="AE36" i="1"/>
  <c r="AF38" i="1"/>
  <c r="J74" i="51"/>
  <c r="D16" i="20"/>
  <c r="G7" i="16"/>
  <c r="G5" i="16"/>
  <c r="G19" i="16"/>
  <c r="G14" i="16"/>
  <c r="G6" i="16"/>
  <c r="G15" i="16"/>
  <c r="G18" i="16"/>
  <c r="G12" i="16"/>
  <c r="G16" i="16"/>
  <c r="G11" i="16"/>
  <c r="G10" i="16"/>
  <c r="G17" i="16"/>
  <c r="G13" i="16"/>
  <c r="O8" i="16" l="1"/>
  <c r="O7" i="16"/>
  <c r="AN38" i="1"/>
  <c r="H73" i="51" s="1"/>
  <c r="I73" i="51"/>
  <c r="AO38" i="1"/>
  <c r="H74" i="51" s="1"/>
  <c r="I74" i="51"/>
  <c r="D73" i="51"/>
  <c r="AN36" i="1"/>
  <c r="C73" i="51" s="1"/>
  <c r="AO36" i="1"/>
  <c r="C74" i="51" s="1"/>
  <c r="D74" i="51"/>
  <c r="F24" i="51"/>
  <c r="I10" i="20"/>
  <c r="I9" i="20"/>
  <c r="H10" i="20"/>
  <c r="J24" i="51" l="1"/>
  <c r="D24" i="51"/>
  <c r="AH18" i="1" l="1"/>
  <c r="H24" i="51"/>
  <c r="C24" i="51"/>
  <c r="G24" i="51" l="1"/>
  <c r="O12" i="20"/>
  <c r="M12" i="20"/>
  <c r="N12" i="20"/>
  <c r="L12" i="20"/>
  <c r="P14" i="1" l="1"/>
  <c r="Y14" i="1" l="1"/>
  <c r="H16" i="51" s="1"/>
  <c r="J16" i="51"/>
  <c r="H9" i="20"/>
  <c r="I8" i="20"/>
  <c r="P12" i="1"/>
  <c r="R14" i="1"/>
  <c r="J17" i="51" s="1"/>
  <c r="AH14" i="1" l="1"/>
  <c r="G16" i="51" s="1"/>
  <c r="Y12" i="1"/>
  <c r="D16" i="51" s="1"/>
  <c r="F16" i="51"/>
  <c r="AA14" i="1"/>
  <c r="H17" i="51" s="1"/>
  <c r="J8" i="20"/>
  <c r="R12" i="1"/>
  <c r="H8" i="20"/>
  <c r="J9" i="20"/>
  <c r="K8" i="20"/>
  <c r="AH12" i="1" l="1"/>
  <c r="C16" i="51" s="1"/>
  <c r="F17" i="51"/>
  <c r="AJ14" i="1"/>
  <c r="AA12" i="1"/>
  <c r="D17" i="51" s="1"/>
  <c r="I12" i="20"/>
  <c r="K12" i="20"/>
  <c r="G17" i="51" l="1"/>
  <c r="AJ12" i="1"/>
  <c r="C17" i="51" l="1"/>
  <c r="J25" i="51" l="1"/>
  <c r="AJ16" i="1"/>
  <c r="F25" i="51"/>
  <c r="K10" i="20"/>
  <c r="J10" i="20"/>
  <c r="K9" i="20"/>
  <c r="H25" i="51" l="1"/>
  <c r="AJ18" i="1"/>
  <c r="C25" i="51"/>
  <c r="D25" i="51"/>
  <c r="L5" i="16"/>
  <c r="G25" i="51" l="1"/>
  <c r="L6" i="16"/>
  <c r="L7" i="16" l="1"/>
  <c r="L8" i="16" l="1"/>
  <c r="L9" i="16" l="1"/>
  <c r="L10" i="16" l="1"/>
  <c r="L11" i="16" l="1"/>
  <c r="L12" i="16" l="1"/>
  <c r="L13" i="16" l="1"/>
  <c r="L14" i="16" l="1"/>
  <c r="L15" i="16" l="1"/>
  <c r="L16" i="16" l="1"/>
  <c r="L17" i="16" l="1"/>
  <c r="L18" i="16" l="1"/>
  <c r="L19" i="16" l="1"/>
</calcChain>
</file>

<file path=xl/sharedStrings.xml><?xml version="1.0" encoding="utf-8"?>
<sst xmlns="http://schemas.openxmlformats.org/spreadsheetml/2006/main" count="3746" uniqueCount="914">
  <si>
    <t xml:space="preserve">HBCD Occupational Exposure and Environmental Release Calculations Spreadsheet </t>
  </si>
  <si>
    <t xml:space="preserve">Final Risk Evaluation for
Cyclic Aliphatic Bromide Cluster (HBCD) Companion Calculation Spreadsheet </t>
  </si>
  <si>
    <t>September 2020</t>
  </si>
  <si>
    <t>Table of Contents</t>
  </si>
  <si>
    <t>Worksheet</t>
  </si>
  <si>
    <t>Description</t>
  </si>
  <si>
    <t>Exposure Scenario (Exp. Scen.)</t>
  </si>
  <si>
    <t>Release Calculations - 100k lbs</t>
  </si>
  <si>
    <t>Release Results 100k lbs</t>
  </si>
  <si>
    <t>Release Calculations - 50k lbs</t>
  </si>
  <si>
    <t>Release Results 50k lbs</t>
  </si>
  <si>
    <t>Release Calculations - 25k lbs</t>
  </si>
  <si>
    <t>Release Results 25k lbs</t>
  </si>
  <si>
    <t>Release Days and Sites</t>
  </si>
  <si>
    <t>Releases_Exp. Scen. 1</t>
  </si>
  <si>
    <t>Releases_Exp. Scen. 2</t>
  </si>
  <si>
    <t>Releases_Exp. Scen. 3</t>
  </si>
  <si>
    <t>Releases_Exp. Scen. 4_EURAR</t>
  </si>
  <si>
    <t>Releases_Exp. Scen. 4_TRI</t>
  </si>
  <si>
    <t>Releases_Exp. Scen. 5 and 10</t>
  </si>
  <si>
    <t>Releases_Exp. Scen. 6 and 8</t>
  </si>
  <si>
    <t>Releases_Exp. Scen. 9</t>
  </si>
  <si>
    <t>Releases_Exp. Scen. 11</t>
  </si>
  <si>
    <t>Releases_Exp. Scen. 12</t>
  </si>
  <si>
    <t>Releases_Exp. Scen. 13</t>
  </si>
  <si>
    <t>Exp. Scen. 8_No. of Sites</t>
  </si>
  <si>
    <t>This tab contains a list of the exposure scenarios included in this spreadsheet.</t>
  </si>
  <si>
    <t>Exposure Scenario</t>
  </si>
  <si>
    <t>Number</t>
  </si>
  <si>
    <t>Title</t>
  </si>
  <si>
    <t>Repackaging of import containers</t>
  </si>
  <si>
    <t>Compounding of Polystyrene Resin to Produce XPS Masterbatch</t>
  </si>
  <si>
    <t>Processing of HBCD to Produce XPS Foam using XPS Masterbatch</t>
  </si>
  <si>
    <t>Processing of HBCD to Produce XPS Foam using HBCD Powder</t>
  </si>
  <si>
    <t>Processing of HBCD to Produce EPS Foam from Imported EPS Resin Beads</t>
  </si>
  <si>
    <t>Processing to Produce SIPs and Automobile Replacement Parts from XPS/EPS Foam</t>
  </si>
  <si>
    <t>Use: Installation of Automotive Replacement Parts</t>
  </si>
  <si>
    <t>Use: Installation of XPS/EPS Foam Insulation in Residential, Public, and Commercial Buildings, and Other Structures</t>
  </si>
  <si>
    <t>Demolition and Disposal of XPS/EPS Foam Insulation Products in Residential, Public and Commercial Buildings, and Other Structures</t>
  </si>
  <si>
    <t>Processing: Recycling of EPS Foam and Reuse of XPS Foam</t>
  </si>
  <si>
    <t>Formulation of Flux/Solder Pastes</t>
  </si>
  <si>
    <t>Use of Flux / Solder Pastes</t>
  </si>
  <si>
    <t xml:space="preserve">Recycling of electronics waste containing HIPS </t>
  </si>
  <si>
    <t>This tab contains calculations of the release estimates presented in the assessment of environmental releases. These calculations assume 100,000 lbs HBCD/year. Supporting information / data is in subsequent tabs.</t>
  </si>
  <si>
    <t xml:space="preserve">Annual Production Volume (PV) of HBCD = </t>
  </si>
  <si>
    <t>pounds HBCD/yr</t>
  </si>
  <si>
    <t>kg HBCD/yr</t>
  </si>
  <si>
    <t>Release = (PV*EF)/(Nsites*Ndays)</t>
  </si>
  <si>
    <t>Release = (Daily Site Release)*Ndays</t>
  </si>
  <si>
    <t>Release = (Annual Site Release)*Nsites</t>
  </si>
  <si>
    <t>Emission Factors Used</t>
  </si>
  <si>
    <t>Corresponding Tab for Emission Factor Determination</t>
  </si>
  <si>
    <t>Site Parameters</t>
  </si>
  <si>
    <t>Emission Factors (EFs)</t>
  </si>
  <si>
    <t>Daily Site Releases (kg/site-day)</t>
  </si>
  <si>
    <t>Annual Site Releases (kg/site-year)</t>
  </si>
  <si>
    <t>Annual Releases for All Sites (kg/yr)</t>
  </si>
  <si>
    <t>Portion of PV (fraction)</t>
  </si>
  <si>
    <t>PV (kg/yr)</t>
  </si>
  <si>
    <t>Nsites (sites)</t>
  </si>
  <si>
    <t>Ndays (days/yr)</t>
  </si>
  <si>
    <t>EF to air</t>
  </si>
  <si>
    <t>EF to water</t>
  </si>
  <si>
    <t>EF to land</t>
  </si>
  <si>
    <t>EF to incineration</t>
  </si>
  <si>
    <t>EF to other (if applicable)</t>
  </si>
  <si>
    <t>Stack Air</t>
  </si>
  <si>
    <t>Fugitive Air</t>
  </si>
  <si>
    <t>POTW</t>
  </si>
  <si>
    <t>Surface Water</t>
  </si>
  <si>
    <t>Landfill</t>
  </si>
  <si>
    <t>Incineration</t>
  </si>
  <si>
    <t>Other (if applicable)</t>
  </si>
  <si>
    <t>EF to air, water, land, incineration</t>
  </si>
  <si>
    <t>Air, water, land, incineration</t>
  </si>
  <si>
    <t>Air, water, land, incienration</t>
  </si>
  <si>
    <t>Lower value of emission factors</t>
  </si>
  <si>
    <t>-</t>
  </si>
  <si>
    <t>Upper value of emission factors</t>
  </si>
  <si>
    <t>Average emission factors calculated from EURAR data</t>
  </si>
  <si>
    <t>"Worst-case" emission factors reported in the EURAR</t>
  </si>
  <si>
    <t>"Worst-case" emission factors calculated from EURAR data</t>
  </si>
  <si>
    <t>2017 TRI results</t>
  </si>
  <si>
    <t>not applicable</t>
  </si>
  <si>
    <t>1-12 (water), 1-16 (air)</t>
  </si>
  <si>
    <t>Refer to the tab "Releases_OES4 XPS from MB TRI"" for a summary of the TRI data</t>
  </si>
  <si>
    <t>EF to water, land, incineration</t>
  </si>
  <si>
    <t>EF to land or incineration</t>
  </si>
  <si>
    <t>Water, land, incineration</t>
  </si>
  <si>
    <t>Incineration or land</t>
  </si>
  <si>
    <t>land, incineration</t>
  </si>
  <si>
    <t>Releases not expected</t>
  </si>
  <si>
    <t>EF to air or water</t>
  </si>
  <si>
    <t>air or water</t>
  </si>
  <si>
    <t>Lower value of emission factors - commercial sites</t>
  </si>
  <si>
    <t>Lower value of emission factors - residential sites</t>
  </si>
  <si>
    <t>Upper value of emission factors - residential sites</t>
  </si>
  <si>
    <t>Upper value of emission factors - commercial sitse</t>
  </si>
  <si>
    <t>Lower value of emission factors (residential sites, proportional to construction sites in Exp. Scen. 8)</t>
  </si>
  <si>
    <t>Per American Housing Survey Report (2013), 0.18% of houses are demolished annually. Per EPA Lifecycle Construction Resource Guide (2008), 0.83% of buildings (unspecified type) are replaced annually. Thus, PV = 100 million pounds in service x (0.18%+0.83%).</t>
  </si>
  <si>
    <t>Upper value of emission factors (commercial sites, proportional to construction sites in Exp. Scen. 8)</t>
  </si>
  <si>
    <t>Per PF doc, 10,000 pounds EPS/year recycled at 1 site. 0.7% HBCD in EPS results in 70 pounds of HBCD = 31.8 kg. One site with unknown PV, assumed same as other known site, for total of 140 pounds for this Exposure Scenario.</t>
  </si>
  <si>
    <t>5 to 300 days</t>
  </si>
  <si>
    <t>Refer to the tab "Releases_OES12 Formulation" for a summary of the TRI data</t>
  </si>
  <si>
    <t>Wastewater</t>
  </si>
  <si>
    <t>Emission factor of 10% of production volume; maximized for releases to landfill and/or incineration</t>
  </si>
  <si>
    <t>Emission factor of 10% of production volume; maximized for releases to Onsite WWT and/or POTW</t>
  </si>
  <si>
    <t>PV (kg/site-yr)</t>
  </si>
  <si>
    <t>EF to air, landfill,  incineration</t>
  </si>
  <si>
    <t>Water</t>
  </si>
  <si>
    <t>air, landfill,  incineration</t>
  </si>
  <si>
    <t>low-end of range of emission factors, low-end electronics throughput (using low-end HBCD content in electronics)</t>
  </si>
  <si>
    <t>EPA calculated the HBCD volume based on the amount of electronics recycled annually in the US and the HBCD content in these electronics. For each the low-end and high-end electronics throughput, EPA used a range of HBCD weight fractions.</t>
  </si>
  <si>
    <t>releases not estimated on this basis</t>
  </si>
  <si>
    <t>high-end of range of emission factors, low-end electronics throughput (using high-end HBCD content in electronics)</t>
  </si>
  <si>
    <t>low-end of range of emission factors, high-end electronics throughput (using low-end HBCD content in electronics)</t>
  </si>
  <si>
    <t>high-end of range of emission factors, high-end electronics throughput (using high-end HBCD content in electronics)</t>
  </si>
  <si>
    <t>This tab contains a summary of releases, assuming a production volume of 100,000 lbs HBCD/yr.</t>
  </si>
  <si>
    <t>PV =</t>
  </si>
  <si>
    <t>1. Repackaging of import containers</t>
  </si>
  <si>
    <t>Release Source</t>
  </si>
  <si>
    <t>Release Media (a)</t>
  </si>
  <si>
    <t>Releases calculated from lower value of range of emission factors</t>
  </si>
  <si>
    <t>Releases calculated from upper value of range of emission factors</t>
  </si>
  <si>
    <t>Number of Sites</t>
  </si>
  <si>
    <t>Hours of Release per Day (hrs/day)</t>
  </si>
  <si>
    <t>Total Annual Release for All Sites
(kg/yr)</t>
  </si>
  <si>
    <t>Annual Release Per Site
(kg/site-yr)</t>
  </si>
  <si>
    <t>Daily Release (kg/site-day)</t>
  </si>
  <si>
    <t>Number of release days: 29 days/year</t>
  </si>
  <si>
    <t>Number of release days: 300 days/year</t>
  </si>
  <si>
    <t>Dust release during unloading of HBCD</t>
  </si>
  <si>
    <t>May go to one or more: Stack air, Fugitive Air, on-site WWT, POTW, landfill, Incineration</t>
  </si>
  <si>
    <t>8 hours/day</t>
  </si>
  <si>
    <t>Disposal of transport bags</t>
  </si>
  <si>
    <t>a - The environmental medium of release may include some or all of those media listed depending on site-specific conditions, including type of equipment use, size of the site, and waste handling practices, including any pollution controls used.</t>
  </si>
  <si>
    <t>2. Compounding of Polystyrene Resin to Produce XPS Masterbatch</t>
  </si>
  <si>
    <t>Releases calculated from average emission factor based on EURAR release data</t>
  </si>
  <si>
    <t>Releases calculated from worst case emission factor as it was reported in the EURAR</t>
  </si>
  <si>
    <t>Number of release days: 10 days/year</t>
  </si>
  <si>
    <t>Number of release days: 60 days/year</t>
  </si>
  <si>
    <t>Unknown - these data were reported by EU sites in the EURAR as total annual release per site</t>
  </si>
  <si>
    <t>May go to one or more: Stack air, fugitive air</t>
  </si>
  <si>
    <t>May go to one or more: Surface Water,  Onsite WWT, POTW</t>
  </si>
  <si>
    <t>3. Processing of HBCD to Produce XPS Foam using XPS Masterbatch</t>
  </si>
  <si>
    <t>Releases calculated from worst case emission factor based on EURAR release data</t>
  </si>
  <si>
    <t>Number of release days: 1 day/year (water and air)</t>
  </si>
  <si>
    <t>Number of release days: 15 day/year (water) and 16 day/year (air)</t>
  </si>
  <si>
    <t>4. Processing of HBCD to Produce XPS Foam using HBCD Powder</t>
  </si>
  <si>
    <t>Number of release days: 1 day/year (water)and air)</t>
  </si>
  <si>
    <t>Number of release days: Over 12 day/year (water) and 16 day/year (air)</t>
  </si>
  <si>
    <t>Site identity</t>
  </si>
  <si>
    <t>Releases per 2017 TRI</t>
  </si>
  <si>
    <t>Annual Release per Site (kg/year)</t>
  </si>
  <si>
    <t>Number of release days: 1 day/year</t>
  </si>
  <si>
    <t>Number of release days: 16 day/year</t>
  </si>
  <si>
    <t>Unknown - these data were reported in 2017 TRI</t>
  </si>
  <si>
    <t>Dow Chemical Company, Pevely MO</t>
  </si>
  <si>
    <t>Stack air (a): 1.81
Off-site transfer for Incineration (b): 30.8
Off-site transfer for disposal to landfill (c): 123</t>
  </si>
  <si>
    <t>Stack air (a): 1.81
Off-site transfer for Incineration  (b): 30.8
Off-site transfer for disposal to landfill  (c): 123</t>
  </si>
  <si>
    <t>Stack air (a): 0.113
Off-site transfer for Incineration (b): 1.93
Off-site transfer for disposal to landfill (c): 7.68</t>
  </si>
  <si>
    <t>Dow Chemical Company, Dalton GA</t>
  </si>
  <si>
    <t>Stack air (a): 21.3
Off-site transfer for disposal to landfill (c): 109
Off-site transfer for incineration (d): 23.1</t>
  </si>
  <si>
    <t>Stack air (a): 21.3
Off-site transfer for disposal to landfill (c): 109
Off-site transfer for Incineration  (d): 23.1</t>
  </si>
  <si>
    <t>Stack air (a): 1.33
Off-site transfer for disposal to landfill  (c): 6.80
Off-site transfer for Incineration  (d): 1.45</t>
  </si>
  <si>
    <t>5. Processing of HBCD to Produce EPS Foam from Imported EPS Resin Beads</t>
  </si>
  <si>
    <t>Number of release days: 16 days/year</t>
  </si>
  <si>
    <t>Number of release days: 140 days/year</t>
  </si>
  <si>
    <t>Dust release during converting process</t>
  </si>
  <si>
    <t>May go to one or more: Stack air, Fugitive Air, surface water, onsite WWT, POTW, Landfill, Incineration</t>
  </si>
  <si>
    <t>Equipment cleaning</t>
  </si>
  <si>
    <t>May go to one or more: surface water, onsite WWT, POTW, landfill, Incineration</t>
  </si>
  <si>
    <t>Disposal of transport containers</t>
  </si>
  <si>
    <t>Trimming foam scrap</t>
  </si>
  <si>
    <t>May go to one or more: Incineration; landfill</t>
  </si>
  <si>
    <t>6. Processing to Produce SIPs and Automobile Replacement Parts from XPS/EPS Foam</t>
  </si>
  <si>
    <t>Dust release during sawing / cutting of foam</t>
  </si>
  <si>
    <t>7. Use: Installation of Automotive Replacement Parts</t>
  </si>
  <si>
    <t>8. Use: Installation of XPS/EPS Foam Insulation in Residential, Public, and Commercial Buildings, and Other Structures</t>
  </si>
  <si>
    <t>Days of Release (day/year)</t>
  </si>
  <si>
    <t>May go to one or more: Fugitive Air, surface water, POTW</t>
  </si>
  <si>
    <t>9. Demolition and Disposal of XPS/EPS Foam Insulation Products in Residential, Public and Commercial Buildings, and Other Structures</t>
  </si>
  <si>
    <t>Total Annual Release for All Sites 
(kg/yr)</t>
  </si>
  <si>
    <t>Dust release during breaking of foam</t>
  </si>
  <si>
    <t xml:space="preserve">May go to one or more: Fugitive Air, surface water, POTW </t>
  </si>
  <si>
    <t>Disposal of demolition waste (foam)</t>
  </si>
  <si>
    <t>Transfer to landfills</t>
  </si>
  <si>
    <t>Transfer for off-site Incineration/energy recovery</t>
  </si>
  <si>
    <t>10. Processing: Recycling of EPS Foam and Reuse of XPS Foam</t>
  </si>
  <si>
    <t>Dust release from grinding of foam</t>
  </si>
  <si>
    <t>May go to one or more: Stack air, Fugitive Air, surface water, onsite WWT, POTW, Landfill, or  Incineration</t>
  </si>
  <si>
    <t>Container cleaning and equipment cleaning residual</t>
  </si>
  <si>
    <t>May go to one or more: surface water,  onsite WWT, POTW, Landfill, or Incineration</t>
  </si>
  <si>
    <t>11. Formulation of Flux/Solder Pastes</t>
  </si>
  <si>
    <t>Release Media</t>
  </si>
  <si>
    <t>Daily release (kg/site-day)</t>
  </si>
  <si>
    <t>Number of release days: 5 day/year</t>
  </si>
  <si>
    <t>Number of release days: 300 day/year</t>
  </si>
  <si>
    <t>INDIUM CORP OF AMERICA, ONEIDA, NY</t>
  </si>
  <si>
    <t>Formulation of Solder</t>
  </si>
  <si>
    <t>Fugitive air (a):</t>
  </si>
  <si>
    <t xml:space="preserve">Stack air (b): </t>
  </si>
  <si>
    <t>Unknown disposal (c):</t>
  </si>
  <si>
    <t>Off-site landfill (d):</t>
  </si>
  <si>
    <t>12. Use of Flux / Solder Pastes</t>
  </si>
  <si>
    <t>Higher landfill and incineration releases</t>
  </si>
  <si>
    <t>Higher onsite wastewater, POTW releases</t>
  </si>
  <si>
    <t>Number of release days: 4 day/year</t>
  </si>
  <si>
    <t>May go to one or more: Onsite WWT, POTW</t>
  </si>
  <si>
    <t>Disposal of transport conatiners and overapplied/unused solder</t>
  </si>
  <si>
    <t>May go to one or more: Incineration, landfill</t>
  </si>
  <si>
    <t xml:space="preserve">13. Recycling of electronics waste containing HIPS </t>
  </si>
  <si>
    <t>Low-end electronics throughput with range of HBCD weight fraction in electronics</t>
  </si>
  <si>
    <t>High-end electronics throughput with range of HBCD weight fraction in electronics</t>
  </si>
  <si>
    <t>low-end emission factors</t>
  </si>
  <si>
    <t>high-end emission factors</t>
  </si>
  <si>
    <t>All - dust collected in bag filters, air emitted from bag filters, fine-grained metal fractions</t>
  </si>
  <si>
    <t>May go to one or more: Air, landfill, incineration</t>
  </si>
  <si>
    <t>This tab contains a summary of the input parameters used in the release calculations.</t>
  </si>
  <si>
    <t>OES #</t>
  </si>
  <si>
    <t xml:space="preserve">Life Cycle Stage </t>
  </si>
  <si>
    <t>Manufacturing or Processing Volume (kg HBCD/yr)</t>
  </si>
  <si>
    <t>Number of Release Days (days/yr)</t>
  </si>
  <si>
    <t>Emission Factors for Release from a Generic Site (kg of HBCD released per kg of HBCD manufactured or processed)</t>
  </si>
  <si>
    <t>Releases to Air</t>
  </si>
  <si>
    <t>Releases to Water</t>
  </si>
  <si>
    <t>Releases to Landfill</t>
  </si>
  <si>
    <t>Releases to Incineration</t>
  </si>
  <si>
    <t>Low-end</t>
  </si>
  <si>
    <t>High-end</t>
  </si>
  <si>
    <t>Typical</t>
  </si>
  <si>
    <t>Worst-Case</t>
  </si>
  <si>
    <t>Compounding of polystyrene to produce XPS masterbatch</t>
  </si>
  <si>
    <t>Manufacture of XPS foam from XPS masterbatch</t>
  </si>
  <si>
    <t>Manufacture of XPS foam using HBCD powder</t>
  </si>
  <si>
    <t>Manufacture of EPS foam from imported EPS resin beads</t>
  </si>
  <si>
    <t>Manufacture of SIPs and Automobile Replacement Parts from XPS or EPS</t>
  </si>
  <si>
    <t>Installation of Automotive Replacement Parts</t>
  </si>
  <si>
    <t>Releases were not assessed for this life cycle stage</t>
  </si>
  <si>
    <t>Installation of EPS/XPS Foam Insulation in Residential, Public and Commercial Buildings, and Other Structures</t>
  </si>
  <si>
    <t>Service Life of HBCD Products</t>
  </si>
  <si>
    <t>Not assessed</t>
  </si>
  <si>
    <t>Demolition of EPS/XPS Foam Insulation in Residential, Public and Commercial Buildings, and Other Structures</t>
  </si>
  <si>
    <t>Releases not assessed on daily basis</t>
  </si>
  <si>
    <t>Recycling of EPS Foam</t>
  </si>
  <si>
    <t>Formulation of Coatings and Flux / Solder Pastes</t>
  </si>
  <si>
    <t>Emission factors were not calculated for this life cycle stage</t>
  </si>
  <si>
    <t>Application of Coatings</t>
  </si>
  <si>
    <t>This tab contains calculations of the release estimates presented in the assessment of environmental releases. These calculations assume 50,000 lbs HBCD/year. Supporting information / data is in subsequent tabs.</t>
  </si>
  <si>
    <t>Portion of PV</t>
  </si>
  <si>
    <t>This tab contains a summary of releases, assuming a production volume of 50,000 lbs HBCD/yr.</t>
  </si>
  <si>
    <t xml:space="preserve">PV = </t>
  </si>
  <si>
    <t>Number of release days: 15 days/year</t>
  </si>
  <si>
    <t>Number of release days: 150 days/year</t>
  </si>
  <si>
    <t>Number of release days: 8 days/year</t>
  </si>
  <si>
    <t>This tab contains calculations of the release estimates presented in the assessment of environmental releases. These calculations assume 25,000 lbs HBCD/year. Supporting information / data is in subsequent tabs.</t>
  </si>
  <si>
    <t>This tab contains a summary of releases, assuming a production volume of 25,000 lbs HBCD/yr.</t>
  </si>
  <si>
    <t>Number of release days: 7 days/year</t>
  </si>
  <si>
    <t>Number of release days: 75 days/year</t>
  </si>
  <si>
    <t xml:space="preserve">This tab contains a summary of the number of release days and sites estimated for each exposure scenario and used in the release calculations. </t>
  </si>
  <si>
    <t>Release Days (days/yr)</t>
  </si>
  <si>
    <t>Number of sites</t>
  </si>
  <si>
    <t>PV = 100,000 lbs HBCD/yr</t>
  </si>
  <si>
    <t>PV = 50,000 lbs HBCD/yr</t>
  </si>
  <si>
    <t>PV = 25,000 lbs HBCD/yr</t>
  </si>
  <si>
    <t>Lower value (days/year)</t>
  </si>
  <si>
    <t>Upper Value (days/year)</t>
  </si>
  <si>
    <t>Lower value (sites)</t>
  </si>
  <si>
    <t>Upper Value (sites)</t>
  </si>
  <si>
    <t>Not applicable - releases not assessed at lower PV for this exposure scenario</t>
  </si>
  <si>
    <t>15 (water); 16 (air)</t>
  </si>
  <si>
    <t>12 (water); 16 (air)</t>
  </si>
  <si>
    <t>This tab contains a summary of emission factors and release days/year for exposure scenario 1, Repackaging of import containers.</t>
  </si>
  <si>
    <t>Emission Factor data from literature</t>
  </si>
  <si>
    <t>Range of emission factors used in the RE</t>
  </si>
  <si>
    <t>Emission Factors - range</t>
  </si>
  <si>
    <t>Media of Release Assessed in this Risk Evaluation</t>
  </si>
  <si>
    <t>Basis or Source</t>
  </si>
  <si>
    <t>Emission factors per media</t>
  </si>
  <si>
    <t>Lower value of range</t>
  </si>
  <si>
    <t>Upper value of range</t>
  </si>
  <si>
    <t>Dust generation from unloading solid standard grade powder from import containers into new containers</t>
  </si>
  <si>
    <t>Stack or Fugitive Air;
POTW or Onsite WWT;
Landfill; incineration</t>
  </si>
  <si>
    <t>OECD, 2009</t>
  </si>
  <si>
    <t xml:space="preserve">Disposal of import containers (bags) </t>
  </si>
  <si>
    <t>100% Landfill</t>
  </si>
  <si>
    <t>Release days data from literature</t>
  </si>
  <si>
    <t>Used in RE?</t>
  </si>
  <si>
    <t>Data from literature</t>
  </si>
  <si>
    <t>Data from literature adjusted to the PV used in the RE</t>
  </si>
  <si>
    <t>Estimate (day/yr)</t>
  </si>
  <si>
    <t>Corresponding PV</t>
  </si>
  <si>
    <t>Source</t>
  </si>
  <si>
    <t>PV for this Exposure Scenario (lbs hbcd/yr)</t>
  </si>
  <si>
    <t>Day/yr for this Exposure Scenario</t>
  </si>
  <si>
    <t>PV = 100,000 pounds HBCD/year</t>
  </si>
  <si>
    <t>N/A - EU technical guidance document is a method. EPA's use of this method is described in the next cell.</t>
  </si>
  <si>
    <t>EU technical guidance document, Appendix I, B-tables (HERO 196375). Industry Category (IC) = 2: Basic Chemicals. Highest estimate of release of days, irrelevant of PV.</t>
  </si>
  <si>
    <t>used as upper value of range</t>
  </si>
  <si>
    <t>EU technical guidance document, Appendix I, B-tables (HERO 196375). Industry Category (IC) = 2: Basic Chemicals. Lowest estimate of release of days, based on PV = 100,000 lbs.</t>
  </si>
  <si>
    <t>used as lower value of range</t>
  </si>
  <si>
    <t>PV = 50,000 pounds HBCD/year</t>
  </si>
  <si>
    <t xml:space="preserve">EU technical guidance document, Appendix I, B-tables (HERO 196375). Industry Category (IC) = 2: Basic Chemicals. Half of the estimate of release days for 100,000 lbs. </t>
  </si>
  <si>
    <t>EU technical guidance document, Appendix I, B-tables (HERO 196375). Industry Category (IC) = 2: Basic Chemicals. Lowest estimate of release of days, based on PV = 50,000 lbs.</t>
  </si>
  <si>
    <t>PV = 25,000 pounds HBCD/year</t>
  </si>
  <si>
    <t xml:space="preserve">EU technical guidance document, Appendix I, B-tables (HERO 196375). Industry Category (IC) = 2: Basic Chemicals. Half of the estimate of release days for 50,000 lbs. </t>
  </si>
  <si>
    <t>EU technical guidance document, Appendix I, B-tables (HERO 196375). Industry Category (IC) = 2: Basic Chemicals. Lowest estimate of release of days, based on PV = 25,000 lbs.</t>
  </si>
  <si>
    <t>This tab contains a summary of emission factors and release days/year for exposure scenario 2, Compounding of Polystyrene Resin to Produce XPS Masterbatch.</t>
  </si>
  <si>
    <t>Release data from literature</t>
  </si>
  <si>
    <t>Site</t>
  </si>
  <si>
    <t>Release to Water</t>
  </si>
  <si>
    <t>Release to Air</t>
  </si>
  <si>
    <t>Process Volume Notes</t>
  </si>
  <si>
    <t>kg/yr</t>
  </si>
  <si>
    <t>Site 1</t>
  </si>
  <si>
    <t xml:space="preserve">The EURAR identifies a total of 1,160 metric tons of HBCD is processed at the 3 sites with site-specific release data. </t>
  </si>
  <si>
    <t>EURAR (HERO 3970747)</t>
  </si>
  <si>
    <t>Site 2</t>
  </si>
  <si>
    <t>Site 3</t>
  </si>
  <si>
    <t>Production volume (PV) data</t>
  </si>
  <si>
    <t>PV data is for</t>
  </si>
  <si>
    <t xml:space="preserve">PV (kg/yr) </t>
  </si>
  <si>
    <t>For all 3 sites</t>
  </si>
  <si>
    <t>Emission Factors used in the RE</t>
  </si>
  <si>
    <t>Notes</t>
  </si>
  <si>
    <t>Air</t>
  </si>
  <si>
    <t>average emission factor calculated from above release data</t>
  </si>
  <si>
    <t>"Worst-case" emission factor reported in the EURAR</t>
  </si>
  <si>
    <t>EU technical guidance document, Appendix I, B-tables (HERO 196375). Industry Category (IC) = 11: Polymers Industry. Formulation, non-HPVC. PV = 100,000 lbs.</t>
  </si>
  <si>
    <t>100,000 pounds HBCD/year</t>
  </si>
  <si>
    <t>N/A - EPA used the lowest value of release days from the GS, due to the low volume of HBCD processed in this exposure scenario.</t>
  </si>
  <si>
    <t>N/A - estimate cannot be scaled by PV</t>
  </si>
  <si>
    <t>This tab contains a summary of emission factors and release days/year for exposure scenario 3, Processing of HBCD to Produce XPS Foam using XPS Masterbatch.</t>
  </si>
  <si>
    <t>Release to water</t>
  </si>
  <si>
    <t xml:space="preserve">The EURAR identifies a total of 719 metric tons of HBCD is processed at the 4 sites with site-specific release data. </t>
  </si>
  <si>
    <t>Site 4</t>
  </si>
  <si>
    <t>Total worst-case emissions for 13 sites without release data</t>
  </si>
  <si>
    <t xml:space="preserve">The EURAR identifies a total of 1,011 metric tons of HBCD is processed at the 13 sites without release data. </t>
  </si>
  <si>
    <t>PV (kg/yr) for all sites</t>
  </si>
  <si>
    <t>Sites with release data (sites 1-4)</t>
  </si>
  <si>
    <t>Sites without release data</t>
  </si>
  <si>
    <t>average emission factor calculated from above release data (Site 1 -4)</t>
  </si>
  <si>
    <t>"Worst-case" calculated from above release data (Worst-case emissions for 13 sites without release data)</t>
  </si>
  <si>
    <t>unknown - site-specific PV data not provided in EURAR</t>
  </si>
  <si>
    <t>EURAR (HERO 3970747); pg 79; reported by industry for WATER release</t>
  </si>
  <si>
    <t>used as upper value of range - WATER Releases</t>
  </si>
  <si>
    <t>used as lower value of range  - WATER and AIR (assumed same as water) Releases</t>
  </si>
  <si>
    <t>EU technical guidance document, Appendix I, B-tables (HERO 196375). Industry Category (IC) = 11: Polymers Industry. Industrial Use, non-HPVC. PV = 100,000 lbs.</t>
  </si>
  <si>
    <t>used as upper value of range - AIR Releases</t>
  </si>
  <si>
    <t>This tab contains a summary of emission factors and release days/year for exposure scenario 4, Processing of HBCD to Produce XPS Foam using HBCD Powder.</t>
  </si>
  <si>
    <t>Release to Wastewater</t>
  </si>
  <si>
    <t xml:space="preserve">The EURAR identifies a total of 3,232 metric tons of HBCD are processed into XPS masterbatch by 18 sites. </t>
  </si>
  <si>
    <t>Site 5</t>
  </si>
  <si>
    <t>Site 6</t>
  </si>
  <si>
    <t>Site 7</t>
  </si>
  <si>
    <t>Site 8</t>
  </si>
  <si>
    <t>Site 9</t>
  </si>
  <si>
    <t>Site 10</t>
  </si>
  <si>
    <t>Site 11</t>
  </si>
  <si>
    <t>Site 12</t>
  </si>
  <si>
    <t>Site 13</t>
  </si>
  <si>
    <t>Site 14</t>
  </si>
  <si>
    <t>Site 15</t>
  </si>
  <si>
    <t>Site 16</t>
  </si>
  <si>
    <t>Site 17</t>
  </si>
  <si>
    <t>Site 18</t>
  </si>
  <si>
    <t>For all sites</t>
  </si>
  <si>
    <t>average emission factor calculated from above release data (Site 1 -18)</t>
  </si>
  <si>
    <t>EURAR; pg 82; reported by industry for WATER release</t>
  </si>
  <si>
    <t>This tab contains a summary of 2017 TRI data for exposure scenario 4, Processing of HBCD to Produce XPS Foam using HBCD Powder.</t>
  </si>
  <si>
    <t>calculations</t>
  </si>
  <si>
    <t>2017 TRI data</t>
  </si>
  <si>
    <t>volume</t>
  </si>
  <si>
    <t>onsite</t>
  </si>
  <si>
    <t>convert from pounds to kg</t>
  </si>
  <si>
    <t>daily release assuming 42 days/yr</t>
  </si>
  <si>
    <t>daily release assuming 300 days/yr</t>
  </si>
  <si>
    <t>daily release assuming 1 days/yr</t>
  </si>
  <si>
    <t>daily release assuming 16 days/yr</t>
  </si>
  <si>
    <t>offsite</t>
  </si>
  <si>
    <t>daily release assuming 250 days/yr</t>
  </si>
  <si>
    <t>offsite - treatment</t>
  </si>
  <si>
    <t>Year</t>
  </si>
  <si>
    <t>TRI Facility ID</t>
  </si>
  <si>
    <t>Facility Name</t>
  </si>
  <si>
    <t>Street Address</t>
  </si>
  <si>
    <t>City</t>
  </si>
  <si>
    <t>County</t>
  </si>
  <si>
    <t>ST</t>
  </si>
  <si>
    <t>ZIP</t>
  </si>
  <si>
    <t>Primary SIC</t>
  </si>
  <si>
    <t>SIC 2</t>
  </si>
  <si>
    <t>SIC 3</t>
  </si>
  <si>
    <t>SIC 4</t>
  </si>
  <si>
    <t>SIC 5</t>
  </si>
  <si>
    <t>SIC 6</t>
  </si>
  <si>
    <t>NAICS Origin</t>
  </si>
  <si>
    <t>Primary NAICS</t>
  </si>
  <si>
    <t>NAICS 2</t>
  </si>
  <si>
    <t>NAICS 3</t>
  </si>
  <si>
    <t>NAICS 4</t>
  </si>
  <si>
    <t>NAICS 5</t>
  </si>
  <si>
    <t>NAICS 6</t>
  </si>
  <si>
    <t>Industry Code</t>
  </si>
  <si>
    <t>Industry</t>
  </si>
  <si>
    <t>Doc_Ctrl_Num</t>
  </si>
  <si>
    <t>Chemical</t>
  </si>
  <si>
    <t>CAS#/Compound Id</t>
  </si>
  <si>
    <t>Clean Air Act Chemical</t>
  </si>
  <si>
    <t>Classification</t>
  </si>
  <si>
    <t>Metal</t>
  </si>
  <si>
    <t>Carcinogen</t>
  </si>
  <si>
    <t>Form Type</t>
  </si>
  <si>
    <t>3.1a 
Produce</t>
  </si>
  <si>
    <t>3.1b 
Import</t>
  </si>
  <si>
    <t>3.1c 
On-site Use/
Processing</t>
  </si>
  <si>
    <t>3.1d 
For Sale/
distribution</t>
  </si>
  <si>
    <t>3.1e 
As 
Byproduct</t>
  </si>
  <si>
    <t>3.1d 
As 
Impurity</t>
  </si>
  <si>
    <t>3.2a 
As 
Reactant</t>
  </si>
  <si>
    <t>3.2b 
As 
Formulation 
Component</t>
  </si>
  <si>
    <t>3.2c
As 
Article 
Component</t>
  </si>
  <si>
    <t>3.2d 
Repacking</t>
  </si>
  <si>
    <t>3.2e 
As 
Process 
Impurity</t>
  </si>
  <si>
    <t>3.3a 
Processing 
Aid</t>
  </si>
  <si>
    <t>3.3b 
Manufacturing 
Aid</t>
  </si>
  <si>
    <t>3.3c 
Ancillary 
or other 
use</t>
  </si>
  <si>
    <t>4.1 
Range 
Code</t>
  </si>
  <si>
    <t>4.1 
From</t>
  </si>
  <si>
    <t>4.1 
To</t>
  </si>
  <si>
    <t>Unit of Measure</t>
  </si>
  <si>
    <t>5.1 Fugitive Air (pounds/yr)</t>
  </si>
  <si>
    <t>5.1 Fugitive Air (kg/yr)</t>
  </si>
  <si>
    <t>5.1 Fugitive Air (kg/day)</t>
  </si>
  <si>
    <t>5.2 Stack Air (pounds/yr)</t>
  </si>
  <si>
    <t>5.2 Stack Air (Kg/yr)</t>
  </si>
  <si>
    <t>5.2 Stack Air (Kg/day)</t>
  </si>
  <si>
    <t>5.3 Water</t>
  </si>
  <si>
    <t>5.4.1 Underground Class I</t>
  </si>
  <si>
    <t>5.4.2 Underground Class II-V</t>
  </si>
  <si>
    <t>5.5.1A RCRA C Landfills</t>
  </si>
  <si>
    <t>5.5.1B Other Landfills</t>
  </si>
  <si>
    <t>5.5.2 Land Treatment</t>
  </si>
  <si>
    <t>5.5.3 Surface Impoundment</t>
  </si>
  <si>
    <t>5.5.3A RCRA C Surface Impoundment</t>
  </si>
  <si>
    <t>5.5.3B Other Surface Impoundment</t>
  </si>
  <si>
    <t>5.5.4 Other Disposal</t>
  </si>
  <si>
    <t>Onsite Release Total</t>
  </si>
  <si>
    <t>6.1 POTW - Releases</t>
  </si>
  <si>
    <t>6.2 M10 Storage Only</t>
  </si>
  <si>
    <t>6.2 M41 Solidification/Stabilization</t>
  </si>
  <si>
    <t>6.2 M62 Wastewater Treatment POTW</t>
  </si>
  <si>
    <t>6.2 M71 Other Cleaning and Degreasing Modifications Made</t>
  </si>
  <si>
    <t>6.2 M81 Underground Injection Class I Wells</t>
  </si>
  <si>
    <t>6.2 M82 Underground Injection Class II-V Wells</t>
  </si>
  <si>
    <t>6.2 M72 Modified Spray Systems</t>
  </si>
  <si>
    <t>6.2 M63 Modified Containment Procedures for Cleaning Units</t>
  </si>
  <si>
    <t>6.2 M66 Modified or Installed Rinse Systems</t>
  </si>
  <si>
    <t>6.2 M67 Improved Rinse Equipment Design</t>
  </si>
  <si>
    <t>6.2 M64 Improved Draining Procedures</t>
  </si>
  <si>
    <t>6.2 M64 Improved Draining Procedures  (kg/yr)</t>
  </si>
  <si>
    <t>6.2 M64 Improved Draining Procedures  (kg/day)</t>
  </si>
  <si>
    <t>6.2 M65 Redesigned Parts Racks</t>
  </si>
  <si>
    <t>6.2 M73 Substitued Coating Materials Used</t>
  </si>
  <si>
    <t>6.2 M79 Other Land Disposal</t>
  </si>
  <si>
    <t>6.2 M90 Other Off-Site Management</t>
  </si>
  <si>
    <t>6.2 M94 Transfer to Waste Broker - Disposal (pounds/yr)</t>
  </si>
  <si>
    <t>6.2 M94 Transfer to Waste Broker - Disposal  (kg/yr)</t>
  </si>
  <si>
    <t>6.2 M94 Transfer to Waste Broker - Disposal  (kg/day)</t>
  </si>
  <si>
    <t>6.2 M99 Unknown</t>
  </si>
  <si>
    <t>6.2 Off Site Release Total</t>
  </si>
  <si>
    <t>6.2 M20 Solvents/Organics Recovery</t>
  </si>
  <si>
    <t>6.2 M24 Instited Better Labeling Procedures</t>
  </si>
  <si>
    <t>6.2 M26 Other Reuse or Recovery</t>
  </si>
  <si>
    <t>6.2 M28 Acid Regeneration</t>
  </si>
  <si>
    <t>6.2 M93 Transfer to Waste Broker - Recycling</t>
  </si>
  <si>
    <t>6.2 Off Site Recycled Total</t>
  </si>
  <si>
    <t>6.2 M56 Energy Recovery</t>
  </si>
  <si>
    <t>6.2 M56 Energy Recovery (kg/yr)</t>
  </si>
  <si>
    <t>6.2 M56 Energy Recovery (kg/day)</t>
  </si>
  <si>
    <t>6.2 M92 Transfer to Waste Broker - Energy Recovery</t>
  </si>
  <si>
    <t>6.2 Off Site Recovery Total</t>
  </si>
  <si>
    <t>6.1 POTW - Treatment</t>
  </si>
  <si>
    <t>6.2 M40 Solidification/Stabilization (pounds/yr)</t>
  </si>
  <si>
    <t>6.2 M40 Solidification/Stabilization (kg/yr)</t>
  </si>
  <si>
    <t>6.2 M40 Solidification/Stabilization (kg/day)</t>
  </si>
  <si>
    <t>6.2 M50 Incineration/Thermal Treatment</t>
  </si>
  <si>
    <t>6.2 M50 Incineration/Thermal Treatment(kg/yr)</t>
  </si>
  <si>
    <t>6.2 M50 Incineration/Thermal Treatment (kg/day)</t>
  </si>
  <si>
    <t>6.2 M54 Incineration/Insignificant Fuel Value</t>
  </si>
  <si>
    <t>6.2 M61 Wastewater Treatment (Excluding POTW)</t>
  </si>
  <si>
    <t>6.2 M69 Other Waste Treatment</t>
  </si>
  <si>
    <t>6.2 M95 Transfer to Waste Broker - Waste Treatment</t>
  </si>
  <si>
    <t>6.2 Off Site Treated Total</t>
  </si>
  <si>
    <t>5 and 6 Total Release Amount</t>
  </si>
  <si>
    <t>8.1 Releases</t>
  </si>
  <si>
    <t>8.1a Onsite Contained Releases</t>
  </si>
  <si>
    <t>8.1b On-site Other Releases</t>
  </si>
  <si>
    <t>8.1c Off-site Contained Releases</t>
  </si>
  <si>
    <t>8.1d Off-site Other Releases</t>
  </si>
  <si>
    <t>8.2 Energy Recovery On-site</t>
  </si>
  <si>
    <t>8.3 Energy Recovery Off-site</t>
  </si>
  <si>
    <t>8.4 Recycling On-Site</t>
  </si>
  <si>
    <t>8.5 Recycling Off-Site</t>
  </si>
  <si>
    <t>8.6 Treatment On-site</t>
  </si>
  <si>
    <t>8.7 Treatement Off-site</t>
  </si>
  <si>
    <t>Production Waste (8.1 thru 8.7)</t>
  </si>
  <si>
    <t>8.8 One-time Release</t>
  </si>
  <si>
    <t>6.1 POTW - Total Transfers</t>
  </si>
  <si>
    <t>2017</t>
  </si>
  <si>
    <t>63070DWCHMDOWIN</t>
  </si>
  <si>
    <t>THE DOW CHEMICAL CO</t>
  </si>
  <si>
    <t>500 DOW INDUSTRIAL DR</t>
  </si>
  <si>
    <t>PEVELY</t>
  </si>
  <si>
    <t>JEFFERSON</t>
  </si>
  <si>
    <t>MO</t>
  </si>
  <si>
    <t>63070</t>
  </si>
  <si>
    <t>326140</t>
  </si>
  <si>
    <t>326</t>
  </si>
  <si>
    <t>Plastics and Rubber</t>
  </si>
  <si>
    <t>1317216052682</t>
  </si>
  <si>
    <t>HEXABROMOCYCLODODECANE</t>
  </si>
  <si>
    <t>N270</t>
  </si>
  <si>
    <t>NO</t>
  </si>
  <si>
    <t>PBT</t>
  </si>
  <si>
    <t>R</t>
  </si>
  <si>
    <t>04</t>
  </si>
  <si>
    <t>POUNDS</t>
  </si>
  <si>
    <t>30720DWCHM1468P</t>
  </si>
  <si>
    <t>DOW CHEMICAL CO DALTON PLANT</t>
  </si>
  <si>
    <t>1467 PROSSER DR SE</t>
  </si>
  <si>
    <t>DALTON</t>
  </si>
  <si>
    <t>WHITFIELD</t>
  </si>
  <si>
    <t>GA</t>
  </si>
  <si>
    <t>30721</t>
  </si>
  <si>
    <t>1317216112262</t>
  </si>
  <si>
    <t>Summary of 2017 TRI data used in RE</t>
  </si>
  <si>
    <t>Site Identity</t>
  </si>
  <si>
    <t>Daily Releases (kg/day)</t>
  </si>
  <si>
    <t>Assuming low-end of 1 day/year for all releases</t>
  </si>
  <si>
    <t>Assuming high-end of 16 day/year for all releases</t>
  </si>
  <si>
    <t>This tab contains a summary of emission factors and release days/year for exposure scenario 5, Processing of HBCD to Produce EPS Foam from Imported EPS Resin Beads, and exposure scenario 10, Processing: Recycling of EPS Foam and Reuse of XPS Foam.</t>
  </si>
  <si>
    <t>Exposure Scenario 5</t>
  </si>
  <si>
    <t>Exposure Scenario 10</t>
  </si>
  <si>
    <t xml:space="preserve">Disposal of transport containers (bags) </t>
  </si>
  <si>
    <t>100% Landfill - EPA assumed transport bags are disposed of to landfill, as opposed to cleaned as the GS indicates</t>
  </si>
  <si>
    <t>landfill</t>
  </si>
  <si>
    <t xml:space="preserve"> water, land, incineration</t>
  </si>
  <si>
    <t>This accounts for container and equpiment cleaning, assuming that the larger containers used to transport EPS foam for recycling may be washed</t>
  </si>
  <si>
    <t>Dust / volatilization releases at elevated temperatures during converting process</t>
  </si>
  <si>
    <t>Unknown partitioning between:
Stack or Fugitive Air;
POTW or Onsite WWT;
Landfill; incineration</t>
  </si>
  <si>
    <t>air, water, land; incineration</t>
  </si>
  <si>
    <t>This accounts for dust release. Trimming not expected during this Exposure Scenario.</t>
  </si>
  <si>
    <t>Equipment cleaning losses from compounding equipment</t>
  </si>
  <si>
    <t>Uncertain media – 
surface water or WWT/POTW;
Landfill;
Incineration</t>
  </si>
  <si>
    <t>EPA/OPPT Solid Residuals in Transport Containers Model</t>
  </si>
  <si>
    <t>water, land, incineration</t>
  </si>
  <si>
    <t>Trimming of foam</t>
  </si>
  <si>
    <t>Unknown partitioning between:
incineration
Landfill</t>
  </si>
  <si>
    <t>OECD, 2009; SPFA Response Letter, 2017</t>
  </si>
  <si>
    <t>incineration or land</t>
  </si>
  <si>
    <t>100,000 pounds/year</t>
  </si>
  <si>
    <t>8-10 campaigns/yr with 14 days/campaign</t>
  </si>
  <si>
    <t>unknown</t>
  </si>
  <si>
    <t>NICNAS (HERO 3978355); pg 84; industry information</t>
  </si>
  <si>
    <t>Exposure Scenario 5: Manufacturing of EPS Foam from Imported EPS Resin Beads</t>
  </si>
  <si>
    <t>Exposure Scenario 10: Recycling of EPS Foam and Reuse of XPS Foam</t>
  </si>
  <si>
    <t>EU technical guidance document, Appendix I, B-tables (HERO 196375). Industry Category (IC) = 11: Polymers Industry. Industrial Use, non-HPVC. PV = 140 lbs.</t>
  </si>
  <si>
    <t>50,000 pounds/year</t>
  </si>
  <si>
    <t>EU technical guidance document, Appendix I, B-tables (HERO 196375). Industry Category (IC) = 11: Polymers Industry. Industrial Use, non-HPVC. PV = 50,000 lbs.</t>
  </si>
  <si>
    <t>25,000 pounds/year</t>
  </si>
  <si>
    <t>EU technical guidance document, Appendix I, B-tables (HERO 196375). Industry Category (IC) = 11: Polymers Industry. Industrial Use, non-HPVC. PV = 25,000 lbs.</t>
  </si>
  <si>
    <t>This tab contains a summary of emission factors and release days/year for exposure scenario 6, Processing to Produce SIPs and Automobile Replacement Parts from XPS/EPS Foam, and exposure scenario 8, Use: Installation of XPS/EPS Foam Insulation in Residential, Public, and Commercial Buildings, and Other Structures.</t>
  </si>
  <si>
    <t>Particle Generation Factor data from literature</t>
  </si>
  <si>
    <t>Conversion</t>
  </si>
  <si>
    <t>Foam Type</t>
  </si>
  <si>
    <t>Activities</t>
  </si>
  <si>
    <t>Particle Generation Factor</t>
  </si>
  <si>
    <t>Unit</t>
  </si>
  <si>
    <t>Value</t>
  </si>
  <si>
    <t>XPS boards</t>
  </si>
  <si>
    <t>Sawing</t>
  </si>
  <si>
    <t xml:space="preserve"> g XPS particles/metric ton XPS used</t>
  </si>
  <si>
    <t>EURAR (HERO 3970747) pg 86</t>
  </si>
  <si>
    <t>kg XPS particles/kg XPS used</t>
  </si>
  <si>
    <t>emission factors implicitly account for the following assumptions: 10% of boards at a construction site are sawed or cut; boards are 6 cm x 60 cm x 125 or 104 cm; and the boards are cut along the short side.</t>
  </si>
  <si>
    <t>EPS boards</t>
  </si>
  <si>
    <t xml:space="preserve"> g EPS particles/metric ton EPS used</t>
  </si>
  <si>
    <t>kg EPS particles/kg EPS used</t>
  </si>
  <si>
    <t>Cutting with a knife then manually breaking or Hot wire cutting</t>
  </si>
  <si>
    <t>g EPS particles/metric ton EPS used</t>
  </si>
  <si>
    <t>g XPS particles/metric ton XPS used</t>
  </si>
  <si>
    <t>Calculated by EPA using the same ratio as that for EPS foam. Particle generation factor for cutting = 5.0 g XPS particles/metric ton XPS used [sawed] x (100 g EPS particles/metric ton EPS used [cut] ÷ 445 g EPS particles/metric ton EPS used [sawed]) = 1.12 g XPS particles/metric ton XPS used [cut].</t>
  </si>
  <si>
    <t>Emission factor data from literature</t>
  </si>
  <si>
    <t>Lower value emission factor (cutting)</t>
  </si>
  <si>
    <t>Upper value emission factor (sawing)</t>
  </si>
  <si>
    <t>Dust generation from thermal cutting or sawing of 10% of XPS (50%) and EPS (50%) boards</t>
  </si>
  <si>
    <t>EURAR (HERO 3970747) - weighted particle generation factors (50% EPS and 50% XPS for cutting [lower value] and sawing [upper value]); note emission factor accounts for 10% of boards being cut/sawed</t>
  </si>
  <si>
    <t>air, water, land, incineration (Exposure Scenario 6); air or water (Exposure Scenario 8)</t>
  </si>
  <si>
    <t>Trimming disposal</t>
  </si>
  <si>
    <t xml:space="preserve">50% to landfill
50% to incineration </t>
  </si>
  <si>
    <t xml:space="preserve">EU technical guidance document, Appendix I, B-tables (HERO 196375). Industry Category (IC) = 11: Polymers Industry. Industrial Use, non-HPVC. Widest range , regardless of PV. </t>
  </si>
  <si>
    <t>Exposure Scenario 6: Manufacturing of SIPs and Automobile Replacement Parts from XPS/EPS Foam</t>
  </si>
  <si>
    <t>N/A - no corresponding PV</t>
  </si>
  <si>
    <t>Draft Application of Spray Polyurethane Foam GS</t>
  </si>
  <si>
    <t>Exposure Scenario 8: Use: Installation of XPS/EPS Foam Insulation in Residential, Public, and Commercial Buildings, and Other Structures</t>
  </si>
  <si>
    <t>This tab contains the summary of data for releases during the service life of HBCD insulation.</t>
  </si>
  <si>
    <t>Highlighted figures are used in the assessment of occupational exposure and environmental release.</t>
  </si>
  <si>
    <t>Loss Fraction to Air</t>
  </si>
  <si>
    <t>Location in Source</t>
  </si>
  <si>
    <t>EURAR</t>
  </si>
  <si>
    <t>Based on 5 ug/m2-year reported in EURAR and surface area of foam for PV of 100 million pounds of HBCD.</t>
  </si>
  <si>
    <t>Morf et al, 2008 (Switzerland study)</t>
  </si>
  <si>
    <t>fig 4 for 42,000 in service for construction; fig 5 for release</t>
  </si>
  <si>
    <t>Managaki et al, 2009 (Japanese Study)</t>
  </si>
  <si>
    <t>Figure 1 - loss from service life of insulation to air (0.033); stock of insulation 14,120</t>
  </si>
  <si>
    <t>50th percentile=</t>
  </si>
  <si>
    <t>max</t>
  </si>
  <si>
    <t>Number of sites determination</t>
  </si>
  <si>
    <t>HBCD for OES 8 and 10</t>
  </si>
  <si>
    <t>kg HBCD</t>
  </si>
  <si>
    <t># large sites for OES 8 and 10</t>
  </si>
  <si>
    <t>sites</t>
  </si>
  <si>
    <t>Amount of HBCD in service for OES 9</t>
  </si>
  <si>
    <t>pounds HBCD</t>
  </si>
  <si>
    <t># large sites for OES 9</t>
  </si>
  <si>
    <t>Surface Area of Foam in Service</t>
  </si>
  <si>
    <t>HBCD mass</t>
  </si>
  <si>
    <t>kg in service</t>
  </si>
  <si>
    <t xml:space="preserve">HBCD concentration </t>
  </si>
  <si>
    <t>hbcd/foam</t>
  </si>
  <si>
    <t>Per EURAR, 0.7% in EPS and 2% in XPS</t>
  </si>
  <si>
    <t>Foam mass</t>
  </si>
  <si>
    <t>kg foam</t>
  </si>
  <si>
    <t>calcd</t>
  </si>
  <si>
    <t>Density</t>
  </si>
  <si>
    <t>kg/m3</t>
  </si>
  <si>
    <t>35-45 kg/m3 per EURAR and HERO 3970748</t>
  </si>
  <si>
    <t>Foam volume</t>
  </si>
  <si>
    <t>m3</t>
  </si>
  <si>
    <t>Thickness of foam</t>
  </si>
  <si>
    <t>m</t>
  </si>
  <si>
    <t>Foam area</t>
  </si>
  <si>
    <t>m2</t>
  </si>
  <si>
    <t>emission rate</t>
  </si>
  <si>
    <t>ug/m2-year</t>
  </si>
  <si>
    <t>kg/year</t>
  </si>
  <si>
    <t>Loss Fraction =</t>
  </si>
  <si>
    <t>This tab contains a summary of emission factors for exposure scenario 9, Demolition and Disposal of XPS/EPS Foam Insulation Products in Residential, Public and Commercial Buildings, and Other Structures.</t>
  </si>
  <si>
    <t xml:space="preserve">manual breaking of EPS boards </t>
  </si>
  <si>
    <t xml:space="preserve"> g EPS particles/metric ton EPS broken</t>
  </si>
  <si>
    <t>EURAR (3970747) pg 95</t>
  </si>
  <si>
    <t>kg EPS particles/kg EPS broken</t>
  </si>
  <si>
    <t xml:space="preserve">manual breaking of XPS boards </t>
  </si>
  <si>
    <t>g XPS particles/metric ton XPS broken</t>
  </si>
  <si>
    <t>kg XPS particles/kg XPS broken</t>
  </si>
  <si>
    <t>EURAR (HERO 3970747) pg 86 - this emission factor is for construction and assumes 10% of boards at a construction site are cut. EPA assumes that 100% of boards may be broken at demolition sites, thus divides the EU factor of 100 g EPS particles/metric ton EPS used by 10%.</t>
  </si>
  <si>
    <t>Calculated in tab  "Releases_Exp. Scen. 6 and 8". this emission factor is for construction and assumes 10% of boards at a construction site are cut. EPA assumes that 100% of boards may be broken at demolition sites, thus divides the EU factor of 100 g EPS particles/metric ton EPS used by 10%.</t>
  </si>
  <si>
    <t>Lower value emission factor (manually break)</t>
  </si>
  <si>
    <t>Upper value emission factor (cut then manually break)</t>
  </si>
  <si>
    <t>Dust generation from manuually breaking or cutting then manually breaking of XPS (50%) and EPS (50%)</t>
  </si>
  <si>
    <t>Unknown partitioning between:
Fugitive Air;
surface water or POTW</t>
  </si>
  <si>
    <t>EURAR (HERO 3970747) - weighted particle generation factors (50% EPS and 50% XPS)</t>
  </si>
  <si>
    <t>Disposal to landfill</t>
  </si>
  <si>
    <t>sent to landfills</t>
  </si>
  <si>
    <t>Disposal to incineration</t>
  </si>
  <si>
    <t>sent for off-site incineration/energy recovery</t>
  </si>
  <si>
    <t>incineration</t>
  </si>
  <si>
    <t>Releases days/yr</t>
  </si>
  <si>
    <t>EPA assumes demolition involving insulation occurs over 1 day/year</t>
  </si>
  <si>
    <t>This tab contains a summary of 2017 TRI data for exposure scenario 11, Formulation of Flux/Solder Pastes.</t>
  </si>
  <si>
    <t>daily release assuming 5 days/yr</t>
  </si>
  <si>
    <t>14305FLMCN4120H</t>
  </si>
  <si>
    <t>FLAME CONTROL COATINGS,LLC</t>
  </si>
  <si>
    <t>4120 HYDE PARK BLVD</t>
  </si>
  <si>
    <t>NIAGARA FALLS</t>
  </si>
  <si>
    <t>NIAGARA</t>
  </si>
  <si>
    <t>NY</t>
  </si>
  <si>
    <t>14305</t>
  </si>
  <si>
    <t>325510</t>
  </si>
  <si>
    <t>325</t>
  </si>
  <si>
    <t>Chemicals</t>
  </si>
  <si>
    <t>1317216073876</t>
  </si>
  <si>
    <t>02</t>
  </si>
  <si>
    <t>13323NDMCR23ROB</t>
  </si>
  <si>
    <t>INDIUM CORP OF AMERICA</t>
  </si>
  <si>
    <t>36 ROBINSON RD</t>
  </si>
  <si>
    <t>CLINTON</t>
  </si>
  <si>
    <t>ONEIDA</t>
  </si>
  <si>
    <t>13323</t>
  </si>
  <si>
    <t>325998</t>
  </si>
  <si>
    <t>1317216382705</t>
  </si>
  <si>
    <t>03</t>
  </si>
  <si>
    <t>100,000 pound/year*5%</t>
  </si>
  <si>
    <t xml:space="preserve">EU technical guidance document, Appendix I, B-tables (HERO 196375). Industry Category (IC) = 2: Basic Chemicals. Formulation. Widest range of potenital release days, regardless of PV. </t>
  </si>
  <si>
    <t>Summary of 2017 TRI releases used in the RE</t>
  </si>
  <si>
    <t>Media</t>
  </si>
  <si>
    <t>Assuming lower value of 5 day/year</t>
  </si>
  <si>
    <t>Assuming upper value of 300 day/year</t>
  </si>
  <si>
    <t>solder formulation</t>
  </si>
  <si>
    <t>This tab contains calculations for HBCD throughput at and releases from sites that apply coatings containing HBCD, assessed in OES13.</t>
  </si>
  <si>
    <t>HBCD volume for this life cycle stage:</t>
  </si>
  <si>
    <t>Throughput</t>
  </si>
  <si>
    <t>Large sites</t>
  </si>
  <si>
    <t>Residential sites</t>
  </si>
  <si>
    <t>Parameter</t>
  </si>
  <si>
    <t>Default Value</t>
  </si>
  <si>
    <t>Calculated Parameter</t>
  </si>
  <si>
    <t>Calculated Value</t>
  </si>
  <si>
    <t>Surface area applied</t>
  </si>
  <si>
    <t>m2/site</t>
  </si>
  <si>
    <t>see tab "OES8 &amp; 10_No of Constr Sites"</t>
  </si>
  <si>
    <t>Conversion_surface area</t>
  </si>
  <si>
    <t>ft2/site</t>
  </si>
  <si>
    <t>conversion of surface area from m2 to ft2</t>
  </si>
  <si>
    <t>Spreading rate</t>
  </si>
  <si>
    <t>ft2/gal</t>
  </si>
  <si>
    <t>Flame Control 20-20A Technical Data Sheet - http://www.flamecontrolcoatings.com/data-sheets</t>
  </si>
  <si>
    <t>HBCD use rate per site</t>
  </si>
  <si>
    <t>kg HBCD/site</t>
  </si>
  <si>
    <t>Calculation = SA/SpreadingRate x Density x FractionHBCD</t>
  </si>
  <si>
    <t>Density (weight)</t>
  </si>
  <si>
    <t>lbs/gal</t>
  </si>
  <si>
    <t>Number of residential sites</t>
  </si>
  <si>
    <t>Calculation = HBCD Volume/HBCD use rate per site</t>
  </si>
  <si>
    <t>Conversion_density</t>
  </si>
  <si>
    <t>kg/gal</t>
  </si>
  <si>
    <t>conversion of density from pounds to kg</t>
  </si>
  <si>
    <t>Fraction of HBCD in coating</t>
  </si>
  <si>
    <t>kg HBCD/kg coating</t>
  </si>
  <si>
    <t xml:space="preserve">Application of Radiation Curable Coatings, Inks, and Adhesives ESD </t>
  </si>
  <si>
    <t>Number of large sites</t>
  </si>
  <si>
    <t>Releases</t>
  </si>
  <si>
    <t>Loss Fraction used in this Risk Evaluation</t>
  </si>
  <si>
    <t>Loss Fraction (LF) per media</t>
  </si>
  <si>
    <t>value</t>
  </si>
  <si>
    <t>Disposal of used transport container</t>
  </si>
  <si>
    <t>100% Landfill - due to the small container size and because application occurs at buildings (not industrial or commercial facilities), EPA assumes containers are disposed as municipal waste</t>
  </si>
  <si>
    <t>EPA/OPPT Small Container Residual Model</t>
  </si>
  <si>
    <t>LF to landfill</t>
  </si>
  <si>
    <t>Equipment Cleaning</t>
  </si>
  <si>
    <t>50% Incineration
50% POTW
EPA assumes equipment cleaning could occur on-site, where rinsing with water may occur, or off-site, where cleaning with solvent that is disposed of via incineration may occur. EPA splits the release among these media.</t>
  </si>
  <si>
    <t>EPA/OPPT Multiple Process Vessel
Residual Model</t>
  </si>
  <si>
    <t>LF to incineration</t>
  </si>
  <si>
    <t>Oversprayed Coating</t>
  </si>
  <si>
    <t>100% Fugitive Air - none of the overspray is captured in booth and is released to fugitive air</t>
  </si>
  <si>
    <t>Per the ESD on Coating Applicating via Spray Painting in the Automotive Refinishing Industry, assume a transfer efficiency of 20% (conventional gun) up to 65% (HVLP gun) and calculate loss fraction by subtracting upstream losses</t>
  </si>
  <si>
    <t xml:space="preserve">transfer efficiency </t>
  </si>
  <si>
    <t>LF to POTW/water</t>
  </si>
  <si>
    <t>LF to Air</t>
  </si>
  <si>
    <t>0.34 to 0.78</t>
  </si>
  <si>
    <t>This tab contains a summary of emission factors and release days/year for exposure scenario 12, Use of Flux / Solder Pastes.</t>
  </si>
  <si>
    <t>HBCD production volume for this life cycle stage (5%of PV):</t>
  </si>
  <si>
    <t>Constants used in calculations of number of sites</t>
  </si>
  <si>
    <t>Calculation of number of sites</t>
  </si>
  <si>
    <t>Default Parameter</t>
  </si>
  <si>
    <t>Solder use rate per site</t>
  </si>
  <si>
    <t>kg solder/site-yr</t>
  </si>
  <si>
    <t>HBCD throughput</t>
  </si>
  <si>
    <t>kg HBCD/site-yr</t>
  </si>
  <si>
    <t>HBCD content in formulation</t>
  </si>
  <si>
    <t>kg HBCD/kg solder</t>
  </si>
  <si>
    <t>Nsites</t>
  </si>
  <si>
    <t>conversion</t>
  </si>
  <si>
    <t>lbs/kg</t>
  </si>
  <si>
    <t>conversion factor</t>
  </si>
  <si>
    <t>Range of emission factors</t>
  </si>
  <si>
    <t>Uncertain partitioning between landfill or incineration
Due to the small container size (syringes), EPA assumes containers are disposed of from the sites as solid waste to either landfill or incineration</t>
  </si>
  <si>
    <t>landfill or incineration</t>
  </si>
  <si>
    <t>POTW/water</t>
  </si>
  <si>
    <t>Unused flux remaining on components, which are possibly removed in subsequent solvent washes</t>
  </si>
  <si>
    <t>Uncertain partitioning between landfill or incineration
Solvent washings treated as hazardous waste. EPA assesses to incineration or landfill (equal split).</t>
  </si>
  <si>
    <t xml:space="preserve">EU technical guidance document, Appendix I, B-tables (HERO 196375). Industry Category (IC) = 4: Electrical/Electronic Industry. Widest range of potenital release days, regardless of PV. </t>
  </si>
  <si>
    <t>This tab contains a summary of emission factors and release days/year for exposure scenario 13, Recycling of electronics waste containing HIPS.</t>
  </si>
  <si>
    <t>mg HBCD/kg electronics - low-end</t>
  </si>
  <si>
    <t>mg HBCD/kg electronics - high-end</t>
  </si>
  <si>
    <t>HBCD amount in electronics</t>
  </si>
  <si>
    <t>Morf et al, 2005 (HERO 1927802) provides 17+/ 4 mg HBCD/kg electronics. EPA uses 21 mg HBCD/kg electronics</t>
  </si>
  <si>
    <t>Number of sites and days</t>
  </si>
  <si>
    <r>
      <rPr>
        <sz val="11"/>
        <rFont val="Calibri"/>
        <family val="2"/>
        <scheme val="minor"/>
      </rPr>
      <t xml:space="preserve">550 certified sites per </t>
    </r>
    <r>
      <rPr>
        <u/>
        <sz val="11"/>
        <color theme="10"/>
        <rFont val="Calibri"/>
        <family val="2"/>
        <scheme val="minor"/>
      </rPr>
      <t xml:space="preserve">https://www.epa.gov/sites/production/files/2016-02/documents/u_s_epa_fact_sheet_implementation_study_1.pdf </t>
    </r>
    <r>
      <rPr>
        <sz val="11"/>
        <rFont val="Calibri"/>
        <family val="2"/>
        <scheme val="minor"/>
      </rPr>
      <t>plus uncertifed rate of 3.6-4%</t>
    </r>
  </si>
  <si>
    <t>Number of days</t>
  </si>
  <si>
    <t>EPA standard assumption</t>
  </si>
  <si>
    <t>Annual HBCD throughput calculation</t>
  </si>
  <si>
    <t>Value (kg HBCD/site-yr)</t>
  </si>
  <si>
    <t>High-end electronics throughput + high-end HBCD content</t>
  </si>
  <si>
    <t>Morf et al, 2005 (HERO 1927802); Tomko et al, 2012 (HERO 1927574) indicate 30,000 metric tons of electronics recycled per year at a site</t>
  </si>
  <si>
    <t>High-end electronics throughput + low-end HBCD content</t>
  </si>
  <si>
    <t>Low-end electronics throughput + high-end HBCD content</t>
  </si>
  <si>
    <t>https://www.epa.gov/facts-and-figures-about-materials-waste-and-recycling/durable-goods-product-specific-data#Electronics (year 2015) indicate 1,230,000 US tons electronics recycled per year</t>
  </si>
  <si>
    <t>Low-end electronics throughput + low-end HBCD content</t>
  </si>
  <si>
    <t>Emission factors used in the RE</t>
  </si>
  <si>
    <t>Emission factors (EPA used the reported value minus the uncertainty for low-end and plus uncertainty for high-end emission factors)</t>
  </si>
  <si>
    <t>Low-end Emission Factor</t>
  </si>
  <si>
    <t>high-end Emission Factor</t>
  </si>
  <si>
    <t xml:space="preserve">dust collected in bag filters </t>
  </si>
  <si>
    <t>Morf et al, 2005 (HERO 1927802) emission factor of 0.04 ± 44% (figure 3)</t>
  </si>
  <si>
    <t xml:space="preserve">fine-grained metal fractions - this stream is processed to separate plastic fines so EPA assumes the plastic fines are released </t>
  </si>
  <si>
    <t>Morf et al, 2005 (HERO 1927802) emission factor of 0.074 ± 24% (figure 3)</t>
  </si>
  <si>
    <t xml:space="preserve">air emitted from bag filters  </t>
  </si>
  <si>
    <t>Morf et al, 2005 (HERO 1927802) emission factor of 0.002% (narrative on page 3)</t>
  </si>
  <si>
    <t>This tab presents a calculation of the number of construction sites for exposure scenario 8, Use: Installation of XPS/EPS Foam Insulation in Residential, Public, and Commercial Buildings, and Other Structures.</t>
  </si>
  <si>
    <t>Total PV</t>
  </si>
  <si>
    <t>PV for this operation</t>
  </si>
  <si>
    <t>Foam density</t>
  </si>
  <si>
    <t>Insulation volume in large construction site</t>
  </si>
  <si>
    <t>HERO 3970748</t>
  </si>
  <si>
    <t>parameter</t>
  </si>
  <si>
    <t>unit</t>
  </si>
  <si>
    <t>source/notes</t>
  </si>
  <si>
    <t>insulation use</t>
  </si>
  <si>
    <t xml:space="preserve">Weighted density = </t>
  </si>
  <si>
    <t>surface area</t>
  </si>
  <si>
    <t>calculated</t>
  </si>
  <si>
    <t>foam mass</t>
  </si>
  <si>
    <t>Foam dimensions</t>
  </si>
  <si>
    <t>kg hbcd</t>
  </si>
  <si>
    <t>thick (m)</t>
  </si>
  <si>
    <t>days/yr at large sites</t>
  </si>
  <si>
    <t>day/yr</t>
  </si>
  <si>
    <t>Width (m)</t>
  </si>
  <si>
    <t>HBCD daily use</t>
  </si>
  <si>
    <t>kg HBCD/site-day</t>
  </si>
  <si>
    <t>length (m)</t>
  </si>
  <si>
    <t>Numbe of large sites</t>
  </si>
  <si>
    <t>Volume =</t>
  </si>
  <si>
    <t>Insulation volume in 2-story residential house</t>
  </si>
  <si>
    <t>Concentration of HBCD</t>
  </si>
  <si>
    <t>Floor area =</t>
  </si>
  <si>
    <t>ft2</t>
  </si>
  <si>
    <t>https://www.census.gov/const/C25Ann/sftotalmedavgsqft.pdf</t>
  </si>
  <si>
    <t>EPS =</t>
  </si>
  <si>
    <t>Length  and width (assuming square) =</t>
  </si>
  <si>
    <t>ft</t>
  </si>
  <si>
    <t>XPS =</t>
  </si>
  <si>
    <t>height =</t>
  </si>
  <si>
    <t>assumed</t>
  </si>
  <si>
    <t>Weighted concentration =</t>
  </si>
  <si>
    <t>wall surface area</t>
  </si>
  <si>
    <t>Total surface area for  4 walls, 3 stories (includes basement)</t>
  </si>
  <si>
    <t>(convert from ft2 to m2)</t>
  </si>
  <si>
    <t>Volume, assuming 1 layer of insulation</t>
  </si>
  <si>
    <t>Mass of foam</t>
  </si>
  <si>
    <t>kg</t>
  </si>
  <si>
    <t>Mass of HBCD</t>
  </si>
  <si>
    <t>days/yr at small sites</t>
  </si>
  <si>
    <t>number of residential sites</t>
  </si>
  <si>
    <t>This tab summarizes the relevant inhalation monitoring data for the service life of HBCD insulation, including maintenance activities in structures containing HBCD insulation.</t>
  </si>
  <si>
    <t>* Footnote: Where statistics are provided, they were calculated or presented as-is by the cited source</t>
  </si>
  <si>
    <t>* Multiple sources means this infomration was presented in muliple sources</t>
  </si>
  <si>
    <t>(internal reference)</t>
  </si>
  <si>
    <t>Row</t>
  </si>
  <si>
    <t>Condition of Use</t>
  </si>
  <si>
    <t>Form of HBCD Handled</t>
  </si>
  <si>
    <t>Type of Sample</t>
  </si>
  <si>
    <t>Worker Activity or Sampling Location</t>
  </si>
  <si>
    <r>
      <t>Exposure Concentration (mg/m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) *</t>
    </r>
  </si>
  <si>
    <t>Number of Samples</t>
  </si>
  <si>
    <t>Sample Time / Type of Measurement</t>
  </si>
  <si>
    <t>Source *</t>
  </si>
  <si>
    <t>EPA Used in Life Cycle Stage</t>
  </si>
  <si>
    <t>row from "Raw Inhalation Monitoring Data"</t>
  </si>
  <si>
    <t>Maintenance activities in aircraft with EPS / XPS foam insulation</t>
  </si>
  <si>
    <t>Ambient dust containing HBCD</t>
  </si>
  <si>
    <t>Personal breathing zone</t>
  </si>
  <si>
    <t>Miscellaneous work</t>
  </si>
  <si>
    <t>8 hours</t>
  </si>
  <si>
    <t>HERO 2343686</t>
  </si>
  <si>
    <t>OES9 Service Life (Maintenance workers)</t>
  </si>
  <si>
    <t>convert from pmol</t>
  </si>
  <si>
    <t>MW (g/mol) =</t>
  </si>
  <si>
    <t>pico to mg conversion=</t>
  </si>
  <si>
    <t>Dismantling above roof panel</t>
  </si>
  <si>
    <t>Dismantling of seats</t>
  </si>
  <si>
    <t>median</t>
  </si>
  <si>
    <t>Below level of detection</t>
  </si>
  <si>
    <t>95th percentile</t>
  </si>
  <si>
    <t>Vacuum cleaning</t>
  </si>
  <si>
    <t>Inspection behind insulation</t>
  </si>
  <si>
    <t>Area</t>
  </si>
  <si>
    <t>Cabin-roof</t>
  </si>
  <si>
    <t>Cabin-seat</t>
  </si>
  <si>
    <t>Cargo-above roof panel</t>
  </si>
  <si>
    <t>Outside-wheel</t>
  </si>
  <si>
    <t>Cabin–seat</t>
  </si>
  <si>
    <t>This tab summarizes the inhalation monitoring data for the application of architectural coatings.</t>
  </si>
  <si>
    <t>Concentration of HBCD in mixed coating</t>
  </si>
  <si>
    <t>ESD on Application of RadCure Coatings</t>
  </si>
  <si>
    <t>Fraction of Solids (non-volatiles)</t>
  </si>
  <si>
    <t>kg nonvolatiles/kg coating</t>
  </si>
  <si>
    <t>http://www.flamecontrolcoatings.com/files/5m8_PD-20-20A.pdf</t>
  </si>
  <si>
    <t>Form</t>
  </si>
  <si>
    <t>Coating mist (non-volatiles)</t>
  </si>
  <si>
    <t>mg/m3</t>
  </si>
  <si>
    <t xml:space="preserve">ESD on Coating Applicating via Spray Painting in the Automotive Refinishing Industry </t>
  </si>
  <si>
    <t>HBCD in coating mist</t>
  </si>
  <si>
    <t>calculation</t>
  </si>
  <si>
    <t>OECD, 2009 HERO ID: 5079084</t>
  </si>
  <si>
    <t>OECD, 2009 HERO ID: 5079085</t>
  </si>
  <si>
    <t>2014 Draft Plastics Compounding GS (HERO ID 5079086)</t>
  </si>
  <si>
    <t>2004 ESD on Plastics Additives; SPFA Response Letter, 2017 (HERO 5079085)</t>
  </si>
  <si>
    <t>Draft Application of Spray Polyurethane Foam GS (HERO 5079085)</t>
  </si>
  <si>
    <t>Townsend et al. 2019 (HERO 6388403); U.S. EPA 2018(HERO 6388385); Tceq 2017(HERO 6388402).</t>
  </si>
  <si>
    <t>pg 146 of ESD on Chemicals used in the Electronics Industries (HERO 5079083)</t>
  </si>
  <si>
    <t>pg 143-145 of ESD on Chemicals used in the Electronics Industries (HERO 5079083)</t>
  </si>
  <si>
    <t>ESD on Chemicals used in the Electronics Industries (HERO 5079083) - The ESD indicates that up to 2% of total releases may be to wastewater from cleaning of equipment or components, consistent with the EPA/OPPT Multiple Process Vessel Residual Model</t>
  </si>
  <si>
    <t>ESD on Chemicals used in the Electronics Industries (HERO 5079083)- Per the ESD a total of 10% loss is expected. Accounting for upstream losses, this loss is 7.4%</t>
  </si>
  <si>
    <r>
      <t>a</t>
    </r>
    <r>
      <rPr>
        <sz val="10"/>
        <color theme="1"/>
        <rFont val="Times New Roman"/>
        <family val="1"/>
      </rPr>
      <t xml:space="preserve"> These stack air releases were reported under Section 5.2 of the TRI Form R, which correspond to on-site stack or point air emissions.</t>
    </r>
  </si>
  <si>
    <r>
      <t xml:space="preserve">b </t>
    </r>
    <r>
      <rPr>
        <sz val="10"/>
        <color theme="1"/>
        <rFont val="Times New Roman"/>
        <family val="1"/>
      </rPr>
      <t>This incineration quantity was reported under Section 6.2 of the TRI Form R, which corresponds to code M50, which is off-site transfer for incineration/thermal treatment.</t>
    </r>
  </si>
  <si>
    <r>
      <t>c</t>
    </r>
    <r>
      <rPr>
        <sz val="10"/>
        <color theme="1"/>
        <rFont val="Times New Roman"/>
        <family val="1"/>
      </rPr>
      <t xml:space="preserve"> This landfill quantity was reported under Section 6.2 of the TRI Form R, which corresponds to code M64, which is off-site transfer for disposal to other landfills. </t>
    </r>
  </si>
  <si>
    <r>
      <t>d</t>
    </r>
    <r>
      <rPr>
        <sz val="10"/>
        <color theme="1"/>
        <rFont val="Times New Roman"/>
        <family val="1"/>
      </rPr>
      <t xml:space="preserve"> This incineration quantity was reported under Section 6.2 of the TRI Form R, which corresponds to code M56, which is off-site transfer for energy recovery. EPA assumes this is to incineration.</t>
    </r>
    <r>
      <rPr>
        <sz val="8"/>
        <color theme="1"/>
        <rFont val="Times New Roman"/>
        <family val="1"/>
      </rPr>
      <t>  </t>
    </r>
  </si>
  <si>
    <r>
      <t>a</t>
    </r>
    <r>
      <rPr>
        <sz val="10"/>
        <color theme="1"/>
        <rFont val="Times New Roman"/>
        <family val="1"/>
      </rPr>
      <t xml:space="preserve"> These fugitive air releases were reported under Section 5.1 of the TRI Form R, which correspond to on-site fugitive or non-point air emissions.</t>
    </r>
  </si>
  <si>
    <r>
      <t>b</t>
    </r>
    <r>
      <rPr>
        <sz val="10"/>
        <color theme="1"/>
        <rFont val="Times New Roman"/>
        <family val="1"/>
      </rPr>
      <t xml:space="preserve"> These stack air releases were reported under Section 5.2 of the TRI Form R, which correspond to on-site stack or point air emissions.</t>
    </r>
  </si>
  <si>
    <r>
      <t>c</t>
    </r>
    <r>
      <rPr>
        <sz val="10"/>
        <color theme="1"/>
        <rFont val="Times New Roman"/>
        <family val="1"/>
      </rPr>
      <t xml:space="preserve"> This unknown disposal quantity was reported under Section 6.2 of the TRI Form R, which corresponds to code M94, which is off-site transfer to waste broker for disposal. Disposal  (as defined at 40 CFR 372.3) is ‘any underground injection, placement in landfills/surface impoundments, land treatment, or other intentional land disposal’.</t>
    </r>
  </si>
  <si>
    <r>
      <t>d</t>
    </r>
    <r>
      <rPr>
        <sz val="10"/>
        <color theme="1"/>
        <rFont val="Times New Roman"/>
        <family val="1"/>
      </rPr>
      <t xml:space="preserve"> This off-site landfill quantity was reported under Section 6.2 of the TRI Form R, which corresponds to code M40, which is off-site transfer for treatment via solidification/stabilization. No additional details were provided. EPA assumes the final media of release is landfill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</si>
</sst>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.E+00"/>
    <numFmt numFmtId="166" formatCode="0.000"/>
    <numFmt numFmtId="167" formatCode="0.0"/>
    <numFmt numFmtId="168" formatCode="_(* #,##0.0_);_(* \(#,##0.0\);_(* &quot;-&quot;??_);_(@_)"/>
    <numFmt numFmtId="169" formatCode="_(* #,##0.000_);_(* \(#,##0.000\);_(* &quot;-&quot;??_);_(@_)"/>
    <numFmt numFmtId="170" formatCode="#,##0.0_);\(#,##0.0\)"/>
    <numFmt numFmtId="171" formatCode="0.0000"/>
    <numFmt numFmtId="172" formatCode="0.00000"/>
    <numFmt numFmtId="173" formatCode="0.0E+00"/>
    <numFmt numFmtId="174" formatCode="_(* #,##0.0_);_(* \(#,##0.0\);_(* &quot;-&quot;_);_(@_)"/>
    <numFmt numFmtId="175" formatCode="_(* #,##0.00_);_(* \(#,##0.00\);_(* &quot;-&quot;_);_(@_)"/>
    <numFmt numFmtId="176" formatCode="_(* #,##0.0000_);_(* \(#,##0.0000\);_(* &quot;-&quot;_);_(@_)"/>
    <numFmt numFmtId="177" formatCode="_(* #,##0.000_);_(* \(#,##0.000\);_(* &quot;-&quot;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u/>
      <sz val="11"/>
      <color theme="10"/>
      <name val="Times New Roman"/>
      <family val="1"/>
    </font>
    <font>
      <b/>
      <sz val="1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sz val="8"/>
      <color theme="1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DD6EE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</cellStyleXfs>
  <cellXfs count="679">
    <xf numFmtId="0" fontId="0" fillId="0" borderId="0" xfId="0"/>
    <xf numFmtId="0" fontId="2" fillId="0" borderId="0" xfId="0" applyFont="1"/>
    <xf numFmtId="43" fontId="0" fillId="0" borderId="0" xfId="1" applyFont="1"/>
    <xf numFmtId="164" fontId="0" fillId="0" borderId="0" xfId="1" applyNumberFormat="1" applyFont="1"/>
    <xf numFmtId="11" fontId="0" fillId="0" borderId="0" xfId="0" applyNumberFormat="1"/>
    <xf numFmtId="0" fontId="0" fillId="0" borderId="0" xfId="0" applyAlignment="1">
      <alignment wrapText="1"/>
    </xf>
    <xf numFmtId="0" fontId="0" fillId="0" borderId="14" xfId="0" applyBorder="1"/>
    <xf numFmtId="0" fontId="2" fillId="2" borderId="14" xfId="0" applyFont="1" applyFill="1" applyBorder="1"/>
    <xf numFmtId="164" fontId="0" fillId="0" borderId="14" xfId="1" applyNumberFormat="1" applyFont="1" applyBorder="1"/>
    <xf numFmtId="43" fontId="0" fillId="0" borderId="14" xfId="0" applyNumberFormat="1" applyBorder="1"/>
    <xf numFmtId="0" fontId="0" fillId="3" borderId="0" xfId="0" applyFill="1"/>
    <xf numFmtId="0" fontId="0" fillId="0" borderId="0" xfId="0" applyAlignment="1">
      <alignment horizontal="right"/>
    </xf>
    <xf numFmtId="0" fontId="2" fillId="2" borderId="23" xfId="0" applyFont="1" applyFill="1" applyBorder="1" applyAlignment="1">
      <alignment horizontal="right" vertic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left"/>
    </xf>
    <xf numFmtId="165" fontId="0" fillId="0" borderId="0" xfId="0" applyNumberFormat="1" applyAlignment="1">
      <alignment horizontal="left"/>
    </xf>
    <xf numFmtId="0" fontId="2" fillId="0" borderId="0" xfId="0" applyFont="1" applyAlignment="1">
      <alignment wrapText="1"/>
    </xf>
    <xf numFmtId="0" fontId="2" fillId="2" borderId="14" xfId="0" applyFont="1" applyFill="1" applyBorder="1" applyAlignment="1">
      <alignment wrapText="1"/>
    </xf>
    <xf numFmtId="0" fontId="0" fillId="3" borderId="0" xfId="0" applyFill="1" applyAlignment="1">
      <alignment wrapText="1"/>
    </xf>
    <xf numFmtId="0" fontId="6" fillId="0" borderId="0" xfId="2"/>
    <xf numFmtId="0" fontId="0" fillId="0" borderId="0" xfId="0" applyAlignment="1">
      <alignment horizontal="left" wrapText="1"/>
    </xf>
    <xf numFmtId="0" fontId="0" fillId="0" borderId="14" xfId="0" applyBorder="1" applyAlignment="1">
      <alignment wrapText="1"/>
    </xf>
    <xf numFmtId="0" fontId="0" fillId="7" borderId="14" xfId="0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2" fillId="6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1" fontId="0" fillId="0" borderId="14" xfId="0" applyNumberFormat="1" applyBorder="1" applyAlignment="1">
      <alignment horizontal="center" vertical="center" wrapText="1"/>
    </xf>
    <xf numFmtId="0" fontId="0" fillId="2" borderId="14" xfId="0" applyFill="1" applyBorder="1" applyAlignment="1">
      <alignment horizontal="right"/>
    </xf>
    <xf numFmtId="166" fontId="0" fillId="0" borderId="0" xfId="0" applyNumberFormat="1"/>
    <xf numFmtId="11" fontId="0" fillId="0" borderId="14" xfId="0" applyNumberFormat="1" applyBorder="1" applyAlignment="1">
      <alignment wrapText="1"/>
    </xf>
    <xf numFmtId="164" fontId="4" fillId="0" borderId="14" xfId="1" applyNumberFormat="1" applyFont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center" vertical="center" wrapText="1"/>
    </xf>
    <xf numFmtId="0" fontId="0" fillId="3" borderId="14" xfId="0" applyFill="1" applyBorder="1" applyAlignment="1">
      <alignment horizontal="right"/>
    </xf>
    <xf numFmtId="0" fontId="2" fillId="0" borderId="14" xfId="0" applyFont="1" applyBorder="1" applyAlignment="1">
      <alignment horizontal="right" wrapText="1"/>
    </xf>
    <xf numFmtId="11" fontId="2" fillId="3" borderId="14" xfId="0" applyNumberFormat="1" applyFont="1" applyFill="1" applyBorder="1" applyAlignment="1">
      <alignment horizontal="center" wrapText="1"/>
    </xf>
    <xf numFmtId="0" fontId="2" fillId="0" borderId="14" xfId="0" applyFont="1" applyBorder="1" applyAlignment="1">
      <alignment wrapText="1"/>
    </xf>
    <xf numFmtId="166" fontId="0" fillId="3" borderId="0" xfId="0" applyNumberFormat="1" applyFill="1"/>
    <xf numFmtId="3" fontId="0" fillId="0" borderId="0" xfId="0" applyNumberFormat="1" applyAlignment="1">
      <alignment wrapText="1"/>
    </xf>
    <xf numFmtId="164" fontId="0" fillId="0" borderId="0" xfId="1" applyNumberFormat="1" applyFont="1" applyAlignment="1">
      <alignment wrapText="1"/>
    </xf>
    <xf numFmtId="1" fontId="0" fillId="0" borderId="0" xfId="0" applyNumberFormat="1" applyAlignment="1">
      <alignment wrapText="1"/>
    </xf>
    <xf numFmtId="1" fontId="4" fillId="0" borderId="14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2" fillId="2" borderId="0" xfId="0" applyFont="1" applyFill="1" applyAlignment="1">
      <alignment horizontal="center"/>
    </xf>
    <xf numFmtId="2" fontId="0" fillId="0" borderId="14" xfId="0" applyNumberFormat="1" applyBorder="1"/>
    <xf numFmtId="2" fontId="0" fillId="3" borderId="0" xfId="0" applyNumberFormat="1" applyFill="1"/>
    <xf numFmtId="43" fontId="0" fillId="0" borderId="0" xfId="0" applyNumberFormat="1"/>
    <xf numFmtId="164" fontId="0" fillId="3" borderId="14" xfId="0" applyNumberFormat="1" applyFill="1" applyBorder="1"/>
    <xf numFmtId="0" fontId="2" fillId="2" borderId="0" xfId="0" applyFont="1" applyFill="1" applyAlignment="1">
      <alignment wrapText="1"/>
    </xf>
    <xf numFmtId="43" fontId="0" fillId="0" borderId="0" xfId="0" applyNumberFormat="1" applyAlignment="1">
      <alignment wrapText="1"/>
    </xf>
    <xf numFmtId="0" fontId="0" fillId="0" borderId="0" xfId="0" applyBorder="1"/>
    <xf numFmtId="0" fontId="0" fillId="0" borderId="0" xfId="0" applyFill="1"/>
    <xf numFmtId="0" fontId="0" fillId="0" borderId="14" xfId="0" applyFill="1" applyBorder="1" applyAlignment="1">
      <alignment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0" fillId="0" borderId="0" xfId="0" applyFill="1" applyAlignment="1">
      <alignment wrapText="1"/>
    </xf>
    <xf numFmtId="0" fontId="2" fillId="2" borderId="14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horizontal="right"/>
    </xf>
    <xf numFmtId="0" fontId="2" fillId="0" borderId="0" xfId="0" applyFont="1" applyFill="1" applyBorder="1" applyAlignment="1">
      <alignment vertical="center" wrapText="1"/>
    </xf>
    <xf numFmtId="164" fontId="0" fillId="0" borderId="0" xfId="1" applyNumberFormat="1" applyFont="1" applyFill="1" applyBorder="1"/>
    <xf numFmtId="43" fontId="0" fillId="0" borderId="0" xfId="1" applyNumberFormat="1" applyFont="1" applyFill="1" applyBorder="1"/>
    <xf numFmtId="0" fontId="0" fillId="0" borderId="0" xfId="0" applyFill="1" applyBorder="1"/>
    <xf numFmtId="0" fontId="2" fillId="0" borderId="0" xfId="0" applyFont="1" applyFill="1" applyBorder="1" applyAlignment="1"/>
    <xf numFmtId="0" fontId="0" fillId="0" borderId="14" xfId="0" applyFill="1" applyBorder="1" applyAlignment="1">
      <alignment horizontal="right"/>
    </xf>
    <xf numFmtId="43" fontId="0" fillId="0" borderId="0" xfId="1" applyNumberFormat="1" applyFont="1"/>
    <xf numFmtId="164" fontId="0" fillId="0" borderId="0" xfId="1" applyNumberFormat="1" applyFont="1" applyFill="1"/>
    <xf numFmtId="43" fontId="0" fillId="0" borderId="0" xfId="0" applyNumberFormat="1" applyFill="1"/>
    <xf numFmtId="2" fontId="0" fillId="0" borderId="0" xfId="0" applyNumberFormat="1"/>
    <xf numFmtId="0" fontId="6" fillId="0" borderId="14" xfId="2" applyBorder="1" applyAlignment="1">
      <alignment wrapText="1"/>
    </xf>
    <xf numFmtId="0" fontId="7" fillId="0" borderId="14" xfId="2" applyFont="1" applyBorder="1" applyAlignment="1">
      <alignment wrapText="1"/>
    </xf>
    <xf numFmtId="0" fontId="0" fillId="0" borderId="19" xfId="0" applyBorder="1"/>
    <xf numFmtId="4" fontId="0" fillId="0" borderId="14" xfId="0" applyNumberFormat="1" applyBorder="1"/>
    <xf numFmtId="0" fontId="0" fillId="0" borderId="22" xfId="0" applyBorder="1" applyAlignment="1"/>
    <xf numFmtId="171" fontId="0" fillId="0" borderId="0" xfId="1" applyNumberFormat="1" applyFont="1"/>
    <xf numFmtId="0" fontId="0" fillId="0" borderId="14" xfId="0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11" fontId="4" fillId="0" borderId="14" xfId="0" applyNumberFormat="1" applyFont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0" fillId="0" borderId="14" xfId="0" applyBorder="1" applyAlignment="1">
      <alignment horizontal="left" vertical="center" wrapText="1"/>
    </xf>
    <xf numFmtId="0" fontId="2" fillId="2" borderId="14" xfId="0" applyFont="1" applyFill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11" fontId="4" fillId="0" borderId="15" xfId="0" applyNumberFormat="1" applyFont="1" applyBorder="1" applyAlignment="1">
      <alignment horizontal="center" vertical="center" wrapText="1"/>
    </xf>
    <xf numFmtId="11" fontId="4" fillId="0" borderId="19" xfId="0" applyNumberFormat="1" applyFont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11" fontId="4" fillId="0" borderId="14" xfId="0" applyNumberFormat="1" applyFont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166" fontId="4" fillId="0" borderId="14" xfId="0" applyNumberFormat="1" applyFont="1" applyBorder="1" applyAlignment="1">
      <alignment horizontal="center" vertical="center" wrapText="1"/>
    </xf>
    <xf numFmtId="1" fontId="4" fillId="0" borderId="15" xfId="0" applyNumberFormat="1" applyFont="1" applyBorder="1" applyAlignment="1">
      <alignment horizontal="center" vertical="center" wrapText="1"/>
    </xf>
    <xf numFmtId="1" fontId="4" fillId="0" borderId="19" xfId="0" applyNumberFormat="1" applyFont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 wrapText="1"/>
    </xf>
    <xf numFmtId="0" fontId="3" fillId="4" borderId="25" xfId="0" applyFont="1" applyFill="1" applyBorder="1" applyAlignment="1">
      <alignment horizontal="center" vertical="center" wrapText="1"/>
    </xf>
    <xf numFmtId="0" fontId="3" fillId="4" borderId="26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2" fillId="2" borderId="0" xfId="0" applyFont="1" applyFill="1" applyAlignment="1">
      <alignment horizontal="center" wrapText="1"/>
    </xf>
    <xf numFmtId="0" fontId="0" fillId="0" borderId="14" xfId="0" applyBorder="1" applyAlignment="1">
      <alignment horizontal="left" vertical="center"/>
    </xf>
    <xf numFmtId="0" fontId="2" fillId="2" borderId="14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9" fillId="9" borderId="0" xfId="0" applyFont="1" applyFill="1"/>
    <xf numFmtId="0" fontId="10" fillId="9" borderId="0" xfId="0" applyFont="1" applyFill="1"/>
    <xf numFmtId="0" fontId="11" fillId="9" borderId="0" xfId="0" applyFont="1" applyFill="1" applyAlignment="1">
      <alignment wrapText="1"/>
    </xf>
    <xf numFmtId="0" fontId="11" fillId="9" borderId="0" xfId="0" applyFont="1" applyFill="1"/>
    <xf numFmtId="49" fontId="12" fillId="9" borderId="0" xfId="0" applyNumberFormat="1" applyFont="1" applyFill="1" applyAlignment="1">
      <alignment horizontal="left"/>
    </xf>
    <xf numFmtId="0" fontId="9" fillId="0" borderId="0" xfId="0" applyFont="1"/>
    <xf numFmtId="0" fontId="10" fillId="0" borderId="0" xfId="0" applyFont="1"/>
    <xf numFmtId="14" fontId="10" fillId="0" borderId="0" xfId="0" applyNumberFormat="1" applyFont="1" applyAlignment="1">
      <alignment horizontal="left"/>
    </xf>
    <xf numFmtId="0" fontId="11" fillId="2" borderId="0" xfId="0" applyFont="1" applyFill="1"/>
    <xf numFmtId="0" fontId="13" fillId="0" borderId="0" xfId="2" quotePrefix="1" applyFont="1" applyFill="1"/>
    <xf numFmtId="0" fontId="10" fillId="0" borderId="0" xfId="0" applyFont="1" applyFill="1"/>
    <xf numFmtId="0" fontId="13" fillId="0" borderId="0" xfId="2" quotePrefix="1" applyFont="1"/>
    <xf numFmtId="0" fontId="13" fillId="0" borderId="0" xfId="2" applyFont="1" applyFill="1"/>
    <xf numFmtId="0" fontId="11" fillId="0" borderId="15" xfId="0" applyFont="1" applyFill="1" applyBorder="1" applyAlignment="1">
      <alignment vertical="center"/>
    </xf>
    <xf numFmtId="0" fontId="11" fillId="0" borderId="19" xfId="0" applyFont="1" applyFill="1" applyBorder="1" applyAlignment="1">
      <alignment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vertical="center"/>
    </xf>
    <xf numFmtId="0" fontId="10" fillId="0" borderId="4" xfId="0" applyFont="1" applyBorder="1" applyAlignment="1">
      <alignment vertical="center" wrapText="1"/>
    </xf>
    <xf numFmtId="164" fontId="10" fillId="0" borderId="0" xfId="1" applyNumberFormat="1" applyFont="1"/>
    <xf numFmtId="11" fontId="10" fillId="0" borderId="0" xfId="0" applyNumberFormat="1" applyFont="1"/>
    <xf numFmtId="0" fontId="10" fillId="0" borderId="4" xfId="0" applyFont="1" applyBorder="1"/>
    <xf numFmtId="0" fontId="10" fillId="0" borderId="0" xfId="0" applyFont="1" applyAlignment="1">
      <alignment vertical="center"/>
    </xf>
    <xf numFmtId="0" fontId="10" fillId="0" borderId="4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2" borderId="41" xfId="0" applyFont="1" applyFill="1" applyBorder="1" applyAlignment="1">
      <alignment horizontal="center" vertical="center" wrapText="1"/>
    </xf>
    <xf numFmtId="0" fontId="11" fillId="2" borderId="27" xfId="0" applyFont="1" applyFill="1" applyBorder="1" applyAlignment="1">
      <alignment horizontal="right"/>
    </xf>
    <xf numFmtId="0" fontId="11" fillId="2" borderId="29" xfId="0" applyFont="1" applyFill="1" applyBorder="1" applyAlignment="1">
      <alignment horizontal="right"/>
    </xf>
    <xf numFmtId="43" fontId="10" fillId="0" borderId="0" xfId="0" applyNumberFormat="1" applyFont="1"/>
    <xf numFmtId="0" fontId="14" fillId="0" borderId="4" xfId="0" applyFont="1" applyBorder="1"/>
    <xf numFmtId="0" fontId="14" fillId="0" borderId="0" xfId="0" applyFont="1"/>
    <xf numFmtId="0" fontId="11" fillId="0" borderId="0" xfId="0" applyFont="1"/>
    <xf numFmtId="0" fontId="11" fillId="2" borderId="40" xfId="0" applyFont="1" applyFill="1" applyBorder="1" applyAlignment="1">
      <alignment horizontal="center" vertical="center" wrapText="1"/>
    </xf>
    <xf numFmtId="164" fontId="10" fillId="0" borderId="16" xfId="1" applyNumberFormat="1" applyFont="1" applyBorder="1"/>
    <xf numFmtId="164" fontId="10" fillId="0" borderId="39" xfId="1" applyNumberFormat="1" applyFont="1" applyBorder="1"/>
    <xf numFmtId="0" fontId="11" fillId="2" borderId="28" xfId="0" applyFont="1" applyFill="1" applyBorder="1" applyAlignment="1">
      <alignment horizontal="center"/>
    </xf>
    <xf numFmtId="0" fontId="11" fillId="2" borderId="27" xfId="0" applyFont="1" applyFill="1" applyBorder="1" applyAlignment="1">
      <alignment horizontal="center"/>
    </xf>
    <xf numFmtId="0" fontId="11" fillId="2" borderId="29" xfId="0" applyFont="1" applyFill="1" applyBorder="1" applyAlignment="1">
      <alignment horizontal="center"/>
    </xf>
    <xf numFmtId="0" fontId="10" fillId="0" borderId="0" xfId="0" applyFont="1" applyBorder="1"/>
    <xf numFmtId="0" fontId="11" fillId="2" borderId="11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41" xfId="0" applyFont="1" applyFill="1" applyBorder="1" applyAlignment="1">
      <alignment horizontal="center" vertical="center"/>
    </xf>
    <xf numFmtId="0" fontId="11" fillId="2" borderId="27" xfId="0" applyFont="1" applyFill="1" applyBorder="1" applyAlignment="1">
      <alignment horizontal="center" vertical="center" wrapText="1"/>
    </xf>
    <xf numFmtId="164" fontId="11" fillId="2" borderId="27" xfId="1" applyNumberFormat="1" applyFont="1" applyFill="1" applyBorder="1" applyAlignment="1">
      <alignment horizontal="center"/>
    </xf>
    <xf numFmtId="164" fontId="11" fillId="2" borderId="29" xfId="1" applyNumberFormat="1" applyFont="1" applyFill="1" applyBorder="1" applyAlignment="1">
      <alignment horizontal="center"/>
    </xf>
    <xf numFmtId="11" fontId="11" fillId="2" borderId="28" xfId="0" applyNumberFormat="1" applyFont="1" applyFill="1" applyBorder="1" applyAlignment="1">
      <alignment horizontal="center"/>
    </xf>
    <xf numFmtId="11" fontId="11" fillId="2" borderId="27" xfId="0" applyNumberFormat="1" applyFont="1" applyFill="1" applyBorder="1" applyAlignment="1">
      <alignment horizontal="center"/>
    </xf>
    <xf numFmtId="11" fontId="11" fillId="2" borderId="29" xfId="0" applyNumberFormat="1" applyFont="1" applyFill="1" applyBorder="1" applyAlignment="1">
      <alignment horizontal="center"/>
    </xf>
    <xf numFmtId="0" fontId="11" fillId="2" borderId="30" xfId="0" applyFont="1" applyFill="1" applyBorder="1" applyAlignment="1">
      <alignment horizontal="center"/>
    </xf>
    <xf numFmtId="0" fontId="11" fillId="2" borderId="14" xfId="0" applyFont="1" applyFill="1" applyBorder="1" applyAlignment="1">
      <alignment horizontal="center"/>
    </xf>
    <xf numFmtId="0" fontId="11" fillId="2" borderId="31" xfId="0" applyFont="1" applyFill="1" applyBorder="1" applyAlignment="1">
      <alignment horizontal="center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57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/>
    </xf>
    <xf numFmtId="164" fontId="11" fillId="2" borderId="16" xfId="1" applyNumberFormat="1" applyFont="1" applyFill="1" applyBorder="1"/>
    <xf numFmtId="0" fontId="11" fillId="2" borderId="16" xfId="0" applyFont="1" applyFill="1" applyBorder="1"/>
    <xf numFmtId="0" fontId="11" fillId="2" borderId="39" xfId="0" applyFont="1" applyFill="1" applyBorder="1"/>
    <xf numFmtId="11" fontId="11" fillId="2" borderId="43" xfId="0" applyNumberFormat="1" applyFont="1" applyFill="1" applyBorder="1"/>
    <xf numFmtId="11" fontId="11" fillId="2" borderId="16" xfId="0" applyNumberFormat="1" applyFont="1" applyFill="1" applyBorder="1"/>
    <xf numFmtId="0" fontId="11" fillId="2" borderId="16" xfId="0" applyFont="1" applyFill="1" applyBorder="1" applyAlignment="1">
      <alignment wrapText="1"/>
    </xf>
    <xf numFmtId="0" fontId="11" fillId="2" borderId="39" xfId="0" applyFont="1" applyFill="1" applyBorder="1" applyAlignment="1">
      <alignment wrapText="1"/>
    </xf>
    <xf numFmtId="0" fontId="11" fillId="2" borderId="43" xfId="0" applyFont="1" applyFill="1" applyBorder="1"/>
    <xf numFmtId="0" fontId="11" fillId="0" borderId="3" xfId="0" applyFont="1" applyBorder="1"/>
    <xf numFmtId="0" fontId="10" fillId="0" borderId="41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 wrapText="1"/>
    </xf>
    <xf numFmtId="0" fontId="11" fillId="2" borderId="28" xfId="0" applyFont="1" applyFill="1" applyBorder="1" applyAlignment="1">
      <alignment horizontal="center" vertical="center"/>
    </xf>
    <xf numFmtId="0" fontId="11" fillId="2" borderId="27" xfId="0" applyFont="1" applyFill="1" applyBorder="1" applyAlignment="1">
      <alignment horizontal="center" vertical="center" wrapText="1"/>
    </xf>
    <xf numFmtId="0" fontId="11" fillId="2" borderId="27" xfId="0" applyFont="1" applyFill="1" applyBorder="1" applyAlignment="1">
      <alignment horizontal="center" vertical="center"/>
    </xf>
    <xf numFmtId="164" fontId="11" fillId="2" borderId="27" xfId="1" applyNumberFormat="1" applyFont="1" applyFill="1" applyBorder="1"/>
    <xf numFmtId="0" fontId="11" fillId="2" borderId="27" xfId="0" applyFont="1" applyFill="1" applyBorder="1"/>
    <xf numFmtId="0" fontId="11" fillId="2" borderId="29" xfId="0" applyFont="1" applyFill="1" applyBorder="1"/>
    <xf numFmtId="11" fontId="11" fillId="2" borderId="28" xfId="0" applyNumberFormat="1" applyFont="1" applyFill="1" applyBorder="1"/>
    <xf numFmtId="11" fontId="11" fillId="2" borderId="27" xfId="0" applyNumberFormat="1" applyFont="1" applyFill="1" applyBorder="1"/>
    <xf numFmtId="11" fontId="11" fillId="2" borderId="27" xfId="0" applyNumberFormat="1" applyFont="1" applyFill="1" applyBorder="1" applyAlignment="1">
      <alignment horizontal="left" wrapText="1"/>
    </xf>
    <xf numFmtId="0" fontId="11" fillId="2" borderId="27" xfId="0" applyFont="1" applyFill="1" applyBorder="1" applyAlignment="1">
      <alignment wrapText="1"/>
    </xf>
    <xf numFmtId="0" fontId="11" fillId="2" borderId="29" xfId="0" applyFont="1" applyFill="1" applyBorder="1" applyAlignment="1">
      <alignment wrapText="1"/>
    </xf>
    <xf numFmtId="0" fontId="11" fillId="2" borderId="28" xfId="0" applyFont="1" applyFill="1" applyBorder="1"/>
    <xf numFmtId="0" fontId="10" fillId="0" borderId="40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4" xfId="0" applyFont="1" applyBorder="1"/>
    <xf numFmtId="164" fontId="10" fillId="0" borderId="14" xfId="1" applyNumberFormat="1" applyFont="1" applyBorder="1"/>
    <xf numFmtId="164" fontId="10" fillId="0" borderId="31" xfId="0" applyNumberFormat="1" applyFont="1" applyBorder="1"/>
    <xf numFmtId="41" fontId="10" fillId="0" borderId="30" xfId="0" applyNumberFormat="1" applyFont="1" applyBorder="1"/>
    <xf numFmtId="41" fontId="10" fillId="0" borderId="14" xfId="0" applyNumberFormat="1" applyFont="1" applyBorder="1"/>
    <xf numFmtId="11" fontId="10" fillId="0" borderId="14" xfId="0" applyNumberFormat="1" applyFont="1" applyBorder="1"/>
    <xf numFmtId="11" fontId="10" fillId="0" borderId="31" xfId="0" applyNumberFormat="1" applyFont="1" applyBorder="1"/>
    <xf numFmtId="41" fontId="10" fillId="0" borderId="30" xfId="0" quotePrefix="1" applyNumberFormat="1" applyFont="1" applyBorder="1" applyAlignment="1">
      <alignment horizontal="right"/>
    </xf>
    <xf numFmtId="41" fontId="10" fillId="0" borderId="14" xfId="0" quotePrefix="1" applyNumberFormat="1" applyFont="1" applyBorder="1" applyAlignment="1">
      <alignment horizontal="right"/>
    </xf>
    <xf numFmtId="43" fontId="10" fillId="0" borderId="14" xfId="0" applyNumberFormat="1" applyFont="1" applyBorder="1"/>
    <xf numFmtId="169" fontId="10" fillId="0" borderId="14" xfId="0" applyNumberFormat="1" applyFont="1" applyBorder="1" applyAlignment="1">
      <alignment horizontal="center"/>
    </xf>
    <xf numFmtId="41" fontId="10" fillId="0" borderId="31" xfId="0" quotePrefix="1" applyNumberFormat="1" applyFont="1" applyBorder="1" applyAlignment="1">
      <alignment horizontal="right"/>
    </xf>
    <xf numFmtId="164" fontId="10" fillId="0" borderId="14" xfId="0" applyNumberFormat="1" applyFont="1" applyBorder="1"/>
    <xf numFmtId="0" fontId="10" fillId="0" borderId="5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57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 wrapText="1"/>
    </xf>
    <xf numFmtId="0" fontId="10" fillId="0" borderId="57" xfId="0" applyFont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 wrapText="1"/>
    </xf>
    <xf numFmtId="0" fontId="10" fillId="0" borderId="35" xfId="0" applyFont="1" applyBorder="1"/>
    <xf numFmtId="164" fontId="10" fillId="0" borderId="35" xfId="1" applyNumberFormat="1" applyFont="1" applyBorder="1"/>
    <xf numFmtId="164" fontId="10" fillId="0" borderId="36" xfId="0" applyNumberFormat="1" applyFont="1" applyBorder="1"/>
    <xf numFmtId="41" fontId="10" fillId="0" borderId="34" xfId="0" applyNumberFormat="1" applyFont="1" applyBorder="1"/>
    <xf numFmtId="41" fontId="10" fillId="0" borderId="35" xfId="0" applyNumberFormat="1" applyFont="1" applyBorder="1"/>
    <xf numFmtId="11" fontId="10" fillId="0" borderId="35" xfId="0" applyNumberFormat="1" applyFont="1" applyBorder="1"/>
    <xf numFmtId="11" fontId="10" fillId="0" borderId="36" xfId="0" applyNumberFormat="1" applyFont="1" applyBorder="1"/>
    <xf numFmtId="41" fontId="10" fillId="0" borderId="34" xfId="0" quotePrefix="1" applyNumberFormat="1" applyFont="1" applyBorder="1" applyAlignment="1">
      <alignment horizontal="right"/>
    </xf>
    <xf numFmtId="41" fontId="10" fillId="0" borderId="35" xfId="0" quotePrefix="1" applyNumberFormat="1" applyFont="1" applyBorder="1" applyAlignment="1">
      <alignment horizontal="right"/>
    </xf>
    <xf numFmtId="43" fontId="10" fillId="0" borderId="35" xfId="0" applyNumberFormat="1" applyFont="1" applyBorder="1"/>
    <xf numFmtId="169" fontId="10" fillId="0" borderId="35" xfId="0" applyNumberFormat="1" applyFont="1" applyBorder="1" applyAlignment="1">
      <alignment horizontal="center"/>
    </xf>
    <xf numFmtId="41" fontId="10" fillId="0" borderId="36" xfId="0" quotePrefix="1" applyNumberFormat="1" applyFont="1" applyBorder="1" applyAlignment="1">
      <alignment horizontal="right"/>
    </xf>
    <xf numFmtId="164" fontId="10" fillId="0" borderId="35" xfId="0" applyNumberFormat="1" applyFont="1" applyBorder="1"/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27" xfId="0" applyFont="1" applyBorder="1"/>
    <xf numFmtId="164" fontId="10" fillId="0" borderId="27" xfId="1" applyNumberFormat="1" applyFont="1" applyBorder="1"/>
    <xf numFmtId="164" fontId="10" fillId="0" borderId="29" xfId="0" applyNumberFormat="1" applyFont="1" applyBorder="1"/>
    <xf numFmtId="11" fontId="10" fillId="0" borderId="28" xfId="0" applyNumberFormat="1" applyFont="1" applyBorder="1"/>
    <xf numFmtId="11" fontId="10" fillId="0" borderId="27" xfId="0" applyNumberFormat="1" applyFont="1" applyBorder="1"/>
    <xf numFmtId="0" fontId="10" fillId="0" borderId="29" xfId="0" applyFont="1" applyBorder="1"/>
    <xf numFmtId="11" fontId="10" fillId="0" borderId="28" xfId="0" applyNumberFormat="1" applyFont="1" applyBorder="1" applyAlignment="1">
      <alignment horizontal="right"/>
    </xf>
    <xf numFmtId="11" fontId="10" fillId="0" borderId="27" xfId="0" applyNumberFormat="1" applyFont="1" applyBorder="1" applyAlignment="1">
      <alignment horizontal="right"/>
    </xf>
    <xf numFmtId="41" fontId="10" fillId="0" borderId="27" xfId="0" quotePrefix="1" applyNumberFormat="1" applyFont="1" applyBorder="1" applyAlignment="1">
      <alignment horizontal="right"/>
    </xf>
    <xf numFmtId="41" fontId="10" fillId="0" borderId="29" xfId="0" quotePrefix="1" applyNumberFormat="1" applyFont="1" applyBorder="1" applyAlignment="1">
      <alignment horizontal="right"/>
    </xf>
    <xf numFmtId="169" fontId="10" fillId="0" borderId="28" xfId="0" applyNumberFormat="1" applyFont="1" applyBorder="1" applyAlignment="1">
      <alignment horizontal="center"/>
    </xf>
    <xf numFmtId="169" fontId="10" fillId="0" borderId="27" xfId="0" applyNumberFormat="1" applyFont="1" applyBorder="1" applyAlignment="1">
      <alignment horizontal="center"/>
    </xf>
    <xf numFmtId="2" fontId="10" fillId="0" borderId="27" xfId="0" applyNumberFormat="1" applyFont="1" applyBorder="1" applyAlignment="1">
      <alignment horizontal="right"/>
    </xf>
    <xf numFmtId="166" fontId="10" fillId="0" borderId="28" xfId="0" applyNumberFormat="1" applyFont="1" applyBorder="1" applyAlignment="1">
      <alignment horizontal="right"/>
    </xf>
    <xf numFmtId="166" fontId="10" fillId="0" borderId="27" xfId="0" applyNumberFormat="1" applyFont="1" applyBorder="1" applyAlignment="1">
      <alignment horizontal="right"/>
    </xf>
    <xf numFmtId="0" fontId="10" fillId="0" borderId="2" xfId="0" applyFont="1" applyBorder="1"/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 wrapText="1"/>
    </xf>
    <xf numFmtId="11" fontId="10" fillId="0" borderId="30" xfId="0" applyNumberFormat="1" applyFont="1" applyBorder="1"/>
    <xf numFmtId="0" fontId="10" fillId="0" borderId="31" xfId="0" applyFont="1" applyBorder="1"/>
    <xf numFmtId="11" fontId="10" fillId="0" borderId="30" xfId="0" applyNumberFormat="1" applyFont="1" applyBorder="1" applyAlignment="1">
      <alignment horizontal="right"/>
    </xf>
    <xf numFmtId="11" fontId="10" fillId="0" borderId="14" xfId="0" applyNumberFormat="1" applyFont="1" applyBorder="1" applyAlignment="1">
      <alignment horizontal="right"/>
    </xf>
    <xf numFmtId="169" fontId="10" fillId="0" borderId="30" xfId="0" applyNumberFormat="1" applyFont="1" applyBorder="1" applyAlignment="1">
      <alignment horizontal="center"/>
    </xf>
    <xf numFmtId="169" fontId="10" fillId="0" borderId="14" xfId="0" applyNumberFormat="1" applyFont="1" applyBorder="1" applyAlignment="1">
      <alignment horizontal="center"/>
    </xf>
    <xf numFmtId="2" fontId="10" fillId="0" borderId="14" xfId="0" applyNumberFormat="1" applyFont="1" applyBorder="1" applyAlignment="1">
      <alignment horizontal="right"/>
    </xf>
    <xf numFmtId="166" fontId="10" fillId="0" borderId="30" xfId="0" applyNumberFormat="1" applyFont="1" applyBorder="1" applyAlignment="1">
      <alignment horizontal="right"/>
    </xf>
    <xf numFmtId="166" fontId="10" fillId="0" borderId="14" xfId="0" applyNumberFormat="1" applyFont="1" applyBorder="1" applyAlignment="1">
      <alignment horizontal="right"/>
    </xf>
    <xf numFmtId="43" fontId="10" fillId="0" borderId="14" xfId="0" applyNumberFormat="1" applyFont="1" applyBorder="1" applyAlignment="1">
      <alignment horizontal="center"/>
    </xf>
    <xf numFmtId="169" fontId="10" fillId="0" borderId="30" xfId="0" applyNumberFormat="1" applyFont="1" applyBorder="1" applyAlignment="1">
      <alignment horizontal="right"/>
    </xf>
    <xf numFmtId="169" fontId="10" fillId="0" borderId="14" xfId="0" applyNumberFormat="1" applyFont="1" applyBorder="1" applyAlignment="1">
      <alignment horizontal="right"/>
    </xf>
    <xf numFmtId="43" fontId="10" fillId="0" borderId="14" xfId="0" applyNumberFormat="1" applyFont="1" applyBorder="1" applyAlignment="1">
      <alignment horizontal="right"/>
    </xf>
    <xf numFmtId="0" fontId="10" fillId="0" borderId="34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 wrapText="1"/>
    </xf>
    <xf numFmtId="11" fontId="10" fillId="0" borderId="34" xfId="0" applyNumberFormat="1" applyFont="1" applyBorder="1"/>
    <xf numFmtId="0" fontId="10" fillId="0" borderId="36" xfId="0" applyFont="1" applyBorder="1"/>
    <xf numFmtId="11" fontId="10" fillId="0" borderId="34" xfId="0" applyNumberFormat="1" applyFont="1" applyBorder="1" applyAlignment="1">
      <alignment horizontal="right"/>
    </xf>
    <xf numFmtId="11" fontId="10" fillId="0" borderId="35" xfId="0" applyNumberFormat="1" applyFont="1" applyBorder="1" applyAlignment="1">
      <alignment horizontal="right"/>
    </xf>
    <xf numFmtId="169" fontId="10" fillId="0" borderId="34" xfId="0" applyNumberFormat="1" applyFont="1" applyBorder="1" applyAlignment="1">
      <alignment horizontal="center"/>
    </xf>
    <xf numFmtId="169" fontId="10" fillId="0" borderId="35" xfId="0" applyNumberFormat="1" applyFont="1" applyBorder="1" applyAlignment="1">
      <alignment horizontal="center"/>
    </xf>
    <xf numFmtId="43" fontId="10" fillId="0" borderId="35" xfId="0" applyNumberFormat="1" applyFont="1" applyBorder="1" applyAlignment="1">
      <alignment horizontal="center"/>
    </xf>
    <xf numFmtId="169" fontId="10" fillId="0" borderId="34" xfId="0" applyNumberFormat="1" applyFont="1" applyBorder="1" applyAlignment="1">
      <alignment horizontal="right"/>
    </xf>
    <xf numFmtId="169" fontId="10" fillId="0" borderId="35" xfId="0" applyNumberFormat="1" applyFont="1" applyBorder="1" applyAlignment="1">
      <alignment horizontal="right"/>
    </xf>
    <xf numFmtId="43" fontId="10" fillId="0" borderId="35" xfId="0" applyNumberFormat="1" applyFont="1" applyBorder="1" applyAlignment="1">
      <alignment horizontal="right"/>
    </xf>
    <xf numFmtId="0" fontId="10" fillId="0" borderId="28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2" fontId="10" fillId="0" borderId="28" xfId="0" applyNumberFormat="1" applyFont="1" applyBorder="1" applyAlignment="1">
      <alignment horizontal="right" vertical="center"/>
    </xf>
    <xf numFmtId="2" fontId="10" fillId="0" borderId="27" xfId="0" applyNumberFormat="1" applyFont="1" applyBorder="1" applyAlignment="1">
      <alignment horizontal="right" vertical="center"/>
    </xf>
    <xf numFmtId="2" fontId="10" fillId="0" borderId="28" xfId="0" applyNumberFormat="1" applyFont="1" applyBorder="1" applyAlignment="1">
      <alignment horizontal="right"/>
    </xf>
    <xf numFmtId="0" fontId="10" fillId="0" borderId="3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2" fontId="10" fillId="0" borderId="30" xfId="0" applyNumberFormat="1" applyFont="1" applyBorder="1" applyAlignment="1">
      <alignment horizontal="right" vertical="center"/>
    </xf>
    <xf numFmtId="2" fontId="10" fillId="0" borderId="14" xfId="0" applyNumberFormat="1" applyFont="1" applyBorder="1" applyAlignment="1">
      <alignment horizontal="right" vertical="center"/>
    </xf>
    <xf numFmtId="2" fontId="10" fillId="0" borderId="30" xfId="0" applyNumberFormat="1" applyFont="1" applyBorder="1" applyAlignment="1">
      <alignment horizontal="right"/>
    </xf>
    <xf numFmtId="167" fontId="10" fillId="0" borderId="30" xfId="0" applyNumberFormat="1" applyFont="1" applyBorder="1" applyAlignment="1">
      <alignment horizontal="right" vertical="center"/>
    </xf>
    <xf numFmtId="167" fontId="10" fillId="0" borderId="14" xfId="0" applyNumberFormat="1" applyFont="1" applyBorder="1" applyAlignment="1">
      <alignment horizontal="right" vertical="center"/>
    </xf>
    <xf numFmtId="167" fontId="10" fillId="0" borderId="30" xfId="0" applyNumberFormat="1" applyFont="1" applyBorder="1" applyAlignment="1">
      <alignment horizontal="right"/>
    </xf>
    <xf numFmtId="167" fontId="10" fillId="0" borderId="14" xfId="0" applyNumberFormat="1" applyFont="1" applyBorder="1" applyAlignment="1">
      <alignment horizontal="right"/>
    </xf>
    <xf numFmtId="0" fontId="10" fillId="0" borderId="3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166" fontId="10" fillId="0" borderId="34" xfId="0" applyNumberFormat="1" applyFont="1" applyBorder="1" applyAlignment="1">
      <alignment horizontal="right"/>
    </xf>
    <xf numFmtId="166" fontId="10" fillId="0" borderId="35" xfId="0" applyNumberFormat="1" applyFont="1" applyBorder="1" applyAlignment="1">
      <alignment horizontal="right"/>
    </xf>
    <xf numFmtId="2" fontId="10" fillId="0" borderId="35" xfId="0" applyNumberFormat="1" applyFont="1" applyBorder="1" applyAlignment="1">
      <alignment horizontal="right"/>
    </xf>
    <xf numFmtId="167" fontId="10" fillId="0" borderId="34" xfId="0" applyNumberFormat="1" applyFont="1" applyBorder="1" applyAlignment="1">
      <alignment horizontal="right" vertical="center"/>
    </xf>
    <xf numFmtId="167" fontId="10" fillId="0" borderId="35" xfId="0" applyNumberFormat="1" applyFont="1" applyBorder="1" applyAlignment="1">
      <alignment horizontal="right" vertical="center"/>
    </xf>
    <xf numFmtId="167" fontId="10" fillId="0" borderId="34" xfId="0" applyNumberFormat="1" applyFont="1" applyBorder="1" applyAlignment="1">
      <alignment horizontal="right"/>
    </xf>
    <xf numFmtId="167" fontId="10" fillId="0" borderId="35" xfId="0" applyNumberFormat="1" applyFont="1" applyBorder="1" applyAlignment="1">
      <alignment horizontal="right"/>
    </xf>
    <xf numFmtId="169" fontId="10" fillId="0" borderId="28" xfId="0" applyNumberFormat="1" applyFont="1" applyBorder="1" applyAlignment="1">
      <alignment horizontal="right"/>
    </xf>
    <xf numFmtId="169" fontId="10" fillId="0" borderId="27" xfId="0" applyNumberFormat="1" applyFont="1" applyBorder="1" applyAlignment="1">
      <alignment horizontal="right"/>
    </xf>
    <xf numFmtId="43" fontId="10" fillId="0" borderId="30" xfId="0" applyNumberFormat="1" applyFont="1" applyBorder="1" applyAlignment="1">
      <alignment horizontal="right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wrapText="1"/>
    </xf>
    <xf numFmtId="11" fontId="10" fillId="0" borderId="48" xfId="0" applyNumberFormat="1" applyFont="1" applyBorder="1" applyAlignment="1">
      <alignment horizontal="center" wrapText="1"/>
    </xf>
    <xf numFmtId="11" fontId="10" fillId="0" borderId="44" xfId="0" applyNumberFormat="1" applyFont="1" applyBorder="1" applyAlignment="1">
      <alignment horizontal="center" wrapText="1"/>
    </xf>
    <xf numFmtId="11" fontId="10" fillId="0" borderId="45" xfId="0" applyNumberFormat="1" applyFont="1" applyBorder="1" applyAlignment="1">
      <alignment horizontal="center" wrapText="1"/>
    </xf>
    <xf numFmtId="11" fontId="10" fillId="0" borderId="48" xfId="0" quotePrefix="1" applyNumberFormat="1" applyFont="1" applyBorder="1" applyAlignment="1">
      <alignment horizontal="center"/>
    </xf>
    <xf numFmtId="11" fontId="10" fillId="0" borderId="44" xfId="0" quotePrefix="1" applyNumberFormat="1" applyFont="1" applyBorder="1" applyAlignment="1">
      <alignment horizontal="center"/>
    </xf>
    <xf numFmtId="11" fontId="10" fillId="0" borderId="45" xfId="0" quotePrefix="1" applyNumberFormat="1" applyFont="1" applyBorder="1" applyAlignment="1">
      <alignment horizontal="center"/>
    </xf>
    <xf numFmtId="11" fontId="11" fillId="2" borderId="27" xfId="0" applyNumberFormat="1" applyFont="1" applyFill="1" applyBorder="1" applyAlignment="1">
      <alignment wrapText="1"/>
    </xf>
    <xf numFmtId="168" fontId="10" fillId="0" borderId="14" xfId="0" applyNumberFormat="1" applyFont="1" applyBorder="1"/>
    <xf numFmtId="43" fontId="10" fillId="0" borderId="31" xfId="0" applyNumberFormat="1" applyFont="1" applyBorder="1"/>
    <xf numFmtId="168" fontId="10" fillId="0" borderId="35" xfId="0" applyNumberFormat="1" applyFont="1" applyBorder="1"/>
    <xf numFmtId="43" fontId="10" fillId="0" borderId="36" xfId="0" applyNumberFormat="1" applyFont="1" applyBorder="1"/>
    <xf numFmtId="11" fontId="10" fillId="0" borderId="14" xfId="0" applyNumberFormat="1" applyFont="1" applyFill="1" applyBorder="1"/>
    <xf numFmtId="11" fontId="10" fillId="0" borderId="31" xfId="0" applyNumberFormat="1" applyFont="1" applyFill="1" applyBorder="1" applyAlignment="1">
      <alignment vertical="center" wrapText="1"/>
    </xf>
    <xf numFmtId="11" fontId="10" fillId="0" borderId="50" xfId="0" applyNumberFormat="1" applyFont="1" applyFill="1" applyBorder="1" applyAlignment="1">
      <alignment vertical="center" wrapText="1"/>
    </xf>
    <xf numFmtId="11" fontId="10" fillId="0" borderId="35" xfId="0" applyNumberFormat="1" applyFont="1" applyFill="1" applyBorder="1"/>
    <xf numFmtId="11" fontId="10" fillId="0" borderId="51" xfId="0" applyNumberFormat="1" applyFont="1" applyFill="1" applyBorder="1" applyAlignment="1">
      <alignment vertical="center" wrapText="1"/>
    </xf>
    <xf numFmtId="0" fontId="10" fillId="0" borderId="46" xfId="0" applyFont="1" applyFill="1" applyBorder="1" applyAlignment="1">
      <alignment horizontal="center" vertical="center"/>
    </xf>
    <xf numFmtId="0" fontId="10" fillId="0" borderId="49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11" fontId="10" fillId="0" borderId="13" xfId="0" applyNumberFormat="1" applyFont="1" applyFill="1" applyBorder="1" applyAlignment="1">
      <alignment horizontal="center"/>
    </xf>
    <xf numFmtId="11" fontId="10" fillId="0" borderId="20" xfId="0" applyNumberFormat="1" applyFont="1" applyFill="1" applyBorder="1" applyAlignment="1">
      <alignment horizontal="center"/>
    </xf>
    <xf numFmtId="11" fontId="10" fillId="0" borderId="8" xfId="0" applyNumberFormat="1" applyFont="1" applyFill="1" applyBorder="1" applyAlignment="1">
      <alignment horizontal="center"/>
    </xf>
    <xf numFmtId="43" fontId="10" fillId="0" borderId="13" xfId="0" applyNumberFormat="1" applyFont="1" applyFill="1" applyBorder="1" applyAlignment="1">
      <alignment horizontal="center"/>
    </xf>
    <xf numFmtId="43" fontId="10" fillId="0" borderId="20" xfId="0" applyNumberFormat="1" applyFont="1" applyFill="1" applyBorder="1" applyAlignment="1">
      <alignment horizontal="center"/>
    </xf>
    <xf numFmtId="43" fontId="10" fillId="0" borderId="8" xfId="0" applyNumberFormat="1" applyFont="1" applyFill="1" applyBorder="1" applyAlignment="1">
      <alignment horizontal="center"/>
    </xf>
    <xf numFmtId="0" fontId="10" fillId="2" borderId="0" xfId="0" applyFont="1" applyFill="1"/>
    <xf numFmtId="0" fontId="10" fillId="0" borderId="30" xfId="0" applyFont="1" applyBorder="1" applyAlignment="1">
      <alignment horizontal="center" vertical="center" wrapText="1"/>
    </xf>
    <xf numFmtId="0" fontId="10" fillId="0" borderId="14" xfId="0" applyFont="1" applyFill="1" applyBorder="1"/>
    <xf numFmtId="43" fontId="10" fillId="0" borderId="14" xfId="1" applyFont="1" applyBorder="1"/>
    <xf numFmtId="11" fontId="10" fillId="0" borderId="52" xfId="0" applyNumberFormat="1" applyFont="1" applyFill="1" applyBorder="1" applyAlignment="1">
      <alignment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35" xfId="0" applyFont="1" applyFill="1" applyBorder="1"/>
    <xf numFmtId="43" fontId="10" fillId="0" borderId="35" xfId="1" applyFont="1" applyBorder="1"/>
    <xf numFmtId="0" fontId="11" fillId="2" borderId="41" xfId="0" applyFont="1" applyFill="1" applyBorder="1"/>
    <xf numFmtId="0" fontId="11" fillId="2" borderId="32" xfId="0" applyFont="1" applyFill="1" applyBorder="1"/>
    <xf numFmtId="0" fontId="11" fillId="2" borderId="55" xfId="0" applyFont="1" applyFill="1" applyBorder="1"/>
    <xf numFmtId="0" fontId="10" fillId="0" borderId="40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 wrapText="1"/>
    </xf>
    <xf numFmtId="164" fontId="10" fillId="0" borderId="14" xfId="1" applyNumberFormat="1" applyFont="1" applyFill="1" applyBorder="1"/>
    <xf numFmtId="164" fontId="10" fillId="0" borderId="14" xfId="1" applyNumberFormat="1" applyFont="1" applyFill="1" applyBorder="1" applyAlignment="1">
      <alignment wrapText="1"/>
    </xf>
    <xf numFmtId="0" fontId="10" fillId="0" borderId="50" xfId="0" applyFont="1" applyFill="1" applyBorder="1"/>
    <xf numFmtId="11" fontId="10" fillId="0" borderId="40" xfId="0" applyNumberFormat="1" applyFont="1" applyFill="1" applyBorder="1"/>
    <xf numFmtId="11" fontId="10" fillId="0" borderId="17" xfId="0" applyNumberFormat="1" applyFont="1" applyFill="1" applyBorder="1"/>
    <xf numFmtId="0" fontId="10" fillId="0" borderId="17" xfId="0" applyFont="1" applyFill="1" applyBorder="1"/>
    <xf numFmtId="0" fontId="10" fillId="0" borderId="17" xfId="0" applyFont="1" applyFill="1" applyBorder="1" applyAlignment="1">
      <alignment wrapText="1"/>
    </xf>
    <xf numFmtId="0" fontId="10" fillId="0" borderId="50" xfId="0" applyFont="1" applyFill="1" applyBorder="1" applyAlignment="1">
      <alignment wrapText="1"/>
    </xf>
    <xf numFmtId="41" fontId="10" fillId="0" borderId="14" xfId="0" quotePrefix="1" applyNumberFormat="1" applyFont="1" applyFill="1" applyBorder="1" applyAlignment="1">
      <alignment horizontal="right"/>
    </xf>
    <xf numFmtId="2" fontId="10" fillId="0" borderId="14" xfId="0" applyNumberFormat="1" applyFont="1" applyFill="1" applyBorder="1"/>
    <xf numFmtId="41" fontId="10" fillId="0" borderId="15" xfId="0" quotePrefix="1" applyNumberFormat="1" applyFont="1" applyFill="1" applyBorder="1" applyAlignment="1">
      <alignment horizontal="right"/>
    </xf>
    <xf numFmtId="41" fontId="10" fillId="0" borderId="28" xfId="0" quotePrefix="1" applyNumberFormat="1" applyFont="1" applyFill="1" applyBorder="1" applyAlignment="1">
      <alignment horizontal="right"/>
    </xf>
    <xf numFmtId="41" fontId="10" fillId="0" borderId="27" xfId="0" quotePrefix="1" applyNumberFormat="1" applyFont="1" applyFill="1" applyBorder="1" applyAlignment="1">
      <alignment horizontal="right"/>
    </xf>
    <xf numFmtId="2" fontId="10" fillId="0" borderId="27" xfId="0" applyNumberFormat="1" applyFont="1" applyFill="1" applyBorder="1"/>
    <xf numFmtId="11" fontId="10" fillId="0" borderId="27" xfId="0" applyNumberFormat="1" applyFont="1" applyFill="1" applyBorder="1"/>
    <xf numFmtId="41" fontId="10" fillId="0" borderId="29" xfId="0" quotePrefix="1" applyNumberFormat="1" applyFont="1" applyFill="1" applyBorder="1" applyAlignment="1">
      <alignment horizontal="right"/>
    </xf>
    <xf numFmtId="41" fontId="10" fillId="0" borderId="30" xfId="0" quotePrefix="1" applyNumberFormat="1" applyFont="1" applyFill="1" applyBorder="1" applyAlignment="1">
      <alignment horizontal="right"/>
    </xf>
    <xf numFmtId="164" fontId="10" fillId="0" borderId="14" xfId="0" applyNumberFormat="1" applyFont="1" applyFill="1" applyBorder="1"/>
    <xf numFmtId="168" fontId="10" fillId="0" borderId="14" xfId="0" applyNumberFormat="1" applyFont="1" applyFill="1" applyBorder="1"/>
    <xf numFmtId="41" fontId="10" fillId="0" borderId="31" xfId="0" quotePrefix="1" applyNumberFormat="1" applyFont="1" applyFill="1" applyBorder="1" applyAlignment="1">
      <alignment horizontal="right"/>
    </xf>
    <xf numFmtId="0" fontId="10" fillId="0" borderId="34" xfId="0" applyFont="1" applyFill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/>
    </xf>
    <xf numFmtId="0" fontId="10" fillId="0" borderId="53" xfId="0" applyFont="1" applyFill="1" applyBorder="1" applyAlignment="1">
      <alignment horizontal="center" vertical="center" wrapText="1"/>
    </xf>
    <xf numFmtId="164" fontId="10" fillId="0" borderId="53" xfId="1" applyNumberFormat="1" applyFont="1" applyFill="1" applyBorder="1"/>
    <xf numFmtId="164" fontId="10" fillId="0" borderId="53" xfId="1" applyNumberFormat="1" applyFont="1" applyFill="1" applyBorder="1" applyAlignment="1">
      <alignment wrapText="1"/>
    </xf>
    <xf numFmtId="164" fontId="10" fillId="0" borderId="36" xfId="1" applyNumberFormat="1" applyFont="1" applyFill="1" applyBorder="1" applyAlignment="1">
      <alignment wrapText="1"/>
    </xf>
    <xf numFmtId="11" fontId="10" fillId="0" borderId="34" xfId="0" applyNumberFormat="1" applyFont="1" applyFill="1" applyBorder="1"/>
    <xf numFmtId="0" fontId="10" fillId="0" borderId="36" xfId="0" applyFont="1" applyFill="1" applyBorder="1"/>
    <xf numFmtId="41" fontId="10" fillId="0" borderId="35" xfId="0" quotePrefix="1" applyNumberFormat="1" applyFont="1" applyFill="1" applyBorder="1" applyAlignment="1">
      <alignment horizontal="right"/>
    </xf>
    <xf numFmtId="1" fontId="10" fillId="0" borderId="17" xfId="0" applyNumberFormat="1" applyFont="1" applyFill="1" applyBorder="1"/>
    <xf numFmtId="166" fontId="10" fillId="0" borderId="14" xfId="0" applyNumberFormat="1" applyFont="1" applyFill="1" applyBorder="1"/>
    <xf numFmtId="41" fontId="10" fillId="0" borderId="54" xfId="0" quotePrefix="1" applyNumberFormat="1" applyFont="1" applyFill="1" applyBorder="1" applyAlignment="1">
      <alignment horizontal="right"/>
    </xf>
    <xf numFmtId="41" fontId="10" fillId="0" borderId="34" xfId="0" quotePrefix="1" applyNumberFormat="1" applyFont="1" applyFill="1" applyBorder="1" applyAlignment="1">
      <alignment horizontal="right"/>
    </xf>
    <xf numFmtId="1" fontId="10" fillId="0" borderId="53" xfId="0" applyNumberFormat="1" applyFont="1" applyFill="1" applyBorder="1"/>
    <xf numFmtId="166" fontId="10" fillId="0" borderId="35" xfId="0" applyNumberFormat="1" applyFont="1" applyFill="1" applyBorder="1"/>
    <xf numFmtId="41" fontId="10" fillId="0" borderId="36" xfId="0" quotePrefix="1" applyNumberFormat="1" applyFont="1" applyFill="1" applyBorder="1" applyAlignment="1">
      <alignment horizontal="right"/>
    </xf>
    <xf numFmtId="164" fontId="10" fillId="0" borderId="35" xfId="0" applyNumberFormat="1" applyFont="1" applyFill="1" applyBorder="1"/>
    <xf numFmtId="168" fontId="10" fillId="0" borderId="35" xfId="0" applyNumberFormat="1" applyFont="1" applyFill="1" applyBorder="1"/>
    <xf numFmtId="0" fontId="10" fillId="0" borderId="38" xfId="0" applyFont="1" applyBorder="1"/>
    <xf numFmtId="0" fontId="10" fillId="0" borderId="14" xfId="0" applyFont="1" applyBorder="1" applyAlignment="1">
      <alignment horizontal="left" vertical="center" wrapText="1"/>
    </xf>
    <xf numFmtId="168" fontId="10" fillId="0" borderId="14" xfId="1" applyNumberFormat="1" applyFont="1" applyBorder="1"/>
    <xf numFmtId="0" fontId="10" fillId="0" borderId="30" xfId="0" applyFont="1" applyBorder="1"/>
    <xf numFmtId="166" fontId="10" fillId="0" borderId="14" xfId="0" applyNumberFormat="1" applyFont="1" applyBorder="1"/>
    <xf numFmtId="169" fontId="10" fillId="0" borderId="14" xfId="0" applyNumberFormat="1" applyFont="1" applyBorder="1"/>
    <xf numFmtId="2" fontId="10" fillId="0" borderId="14" xfId="0" applyNumberFormat="1" applyFont="1" applyBorder="1"/>
    <xf numFmtId="166" fontId="10" fillId="0" borderId="31" xfId="0" applyNumberFormat="1" applyFont="1" applyBorder="1"/>
    <xf numFmtId="0" fontId="10" fillId="0" borderId="35" xfId="0" applyFont="1" applyBorder="1" applyAlignment="1">
      <alignment horizontal="left" vertical="center" wrapText="1"/>
    </xf>
    <xf numFmtId="168" fontId="10" fillId="0" borderId="35" xfId="1" applyNumberFormat="1" applyFont="1" applyBorder="1"/>
    <xf numFmtId="0" fontId="10" fillId="0" borderId="34" xfId="0" applyFont="1" applyBorder="1"/>
    <xf numFmtId="166" fontId="10" fillId="0" borderId="35" xfId="0" applyNumberFormat="1" applyFont="1" applyBorder="1"/>
    <xf numFmtId="166" fontId="10" fillId="0" borderId="36" xfId="0" applyNumberFormat="1" applyFont="1" applyBorder="1"/>
    <xf numFmtId="169" fontId="10" fillId="0" borderId="35" xfId="0" applyNumberFormat="1" applyFont="1" applyBorder="1"/>
    <xf numFmtId="2" fontId="10" fillId="0" borderId="35" xfId="0" applyNumberFormat="1" applyFont="1" applyBorder="1"/>
    <xf numFmtId="0" fontId="10" fillId="0" borderId="46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/>
    </xf>
    <xf numFmtId="0" fontId="10" fillId="0" borderId="47" xfId="0" applyFont="1" applyBorder="1"/>
    <xf numFmtId="43" fontId="10" fillId="0" borderId="47" xfId="1" applyFont="1" applyBorder="1"/>
    <xf numFmtId="0" fontId="10" fillId="0" borderId="49" xfId="0" quotePrefix="1" applyFont="1" applyBorder="1" applyAlignment="1">
      <alignment horizontal="right"/>
    </xf>
    <xf numFmtId="11" fontId="10" fillId="0" borderId="46" xfId="0" applyNumberFormat="1" applyFont="1" applyBorder="1" applyAlignment="1">
      <alignment horizontal="center"/>
    </xf>
    <xf numFmtId="11" fontId="10" fillId="0" borderId="47" xfId="0" applyNumberFormat="1" applyFont="1" applyBorder="1" applyAlignment="1">
      <alignment horizontal="center"/>
    </xf>
    <xf numFmtId="11" fontId="10" fillId="0" borderId="49" xfId="0" applyNumberFormat="1" applyFont="1" applyBorder="1" applyAlignment="1">
      <alignment horizontal="center"/>
    </xf>
    <xf numFmtId="49" fontId="10" fillId="0" borderId="13" xfId="0" quotePrefix="1" applyNumberFormat="1" applyFont="1" applyBorder="1" applyAlignment="1">
      <alignment horizontal="center" wrapText="1"/>
    </xf>
    <xf numFmtId="49" fontId="10" fillId="0" borderId="20" xfId="0" quotePrefix="1" applyNumberFormat="1" applyFont="1" applyBorder="1" applyAlignment="1">
      <alignment horizontal="center" wrapText="1"/>
    </xf>
    <xf numFmtId="49" fontId="10" fillId="0" borderId="8" xfId="0" quotePrefix="1" applyNumberFormat="1" applyFont="1" applyBorder="1" applyAlignment="1">
      <alignment horizontal="center" wrapText="1"/>
    </xf>
    <xf numFmtId="1" fontId="10" fillId="0" borderId="14" xfId="0" applyNumberFormat="1" applyFont="1" applyBorder="1"/>
    <xf numFmtId="11" fontId="10" fillId="0" borderId="14" xfId="0" applyNumberFormat="1" applyFont="1" applyBorder="1" applyAlignment="1">
      <alignment horizontal="center"/>
    </xf>
    <xf numFmtId="168" fontId="10" fillId="0" borderId="14" xfId="0" applyNumberFormat="1" applyFont="1" applyBorder="1" applyAlignment="1">
      <alignment horizontal="center"/>
    </xf>
    <xf numFmtId="1" fontId="10" fillId="0" borderId="35" xfId="0" applyNumberFormat="1" applyFont="1" applyBorder="1"/>
    <xf numFmtId="11" fontId="10" fillId="0" borderId="35" xfId="0" applyNumberFormat="1" applyFont="1" applyBorder="1" applyAlignment="1">
      <alignment horizontal="center"/>
    </xf>
    <xf numFmtId="168" fontId="10" fillId="0" borderId="35" xfId="0" applyNumberFormat="1" applyFont="1" applyBorder="1" applyAlignment="1">
      <alignment horizontal="center"/>
    </xf>
    <xf numFmtId="0" fontId="10" fillId="0" borderId="56" xfId="0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horizontal="center" vertical="center" wrapText="1"/>
    </xf>
    <xf numFmtId="0" fontId="11" fillId="2" borderId="27" xfId="0" applyFont="1" applyFill="1" applyBorder="1" applyAlignment="1">
      <alignment horizontal="left" wrapText="1"/>
    </xf>
    <xf numFmtId="0" fontId="10" fillId="0" borderId="37" xfId="0" applyFont="1" applyFill="1" applyBorder="1" applyAlignment="1">
      <alignment horizontal="center" vertical="center"/>
    </xf>
    <xf numFmtId="0" fontId="10" fillId="0" borderId="50" xfId="0" applyFont="1" applyFill="1" applyBorder="1" applyAlignment="1">
      <alignment horizontal="center" vertical="center" wrapText="1"/>
    </xf>
    <xf numFmtId="0" fontId="10" fillId="0" borderId="30" xfId="0" applyFont="1" applyBorder="1" applyAlignment="1">
      <alignment vertical="center" wrapText="1"/>
    </xf>
    <xf numFmtId="43" fontId="10" fillId="0" borderId="14" xfId="1" applyNumberFormat="1" applyFont="1" applyBorder="1"/>
    <xf numFmtId="176" fontId="10" fillId="0" borderId="14" xfId="0" quotePrefix="1" applyNumberFormat="1" applyFont="1" applyBorder="1" applyAlignment="1">
      <alignment horizontal="right"/>
    </xf>
    <xf numFmtId="11" fontId="10" fillId="0" borderId="14" xfId="0" quotePrefix="1" applyNumberFormat="1" applyFont="1" applyBorder="1" applyAlignment="1">
      <alignment horizontal="center"/>
    </xf>
    <xf numFmtId="169" fontId="10" fillId="0" borderId="14" xfId="0" quotePrefix="1" applyNumberFormat="1" applyFont="1" applyBorder="1" applyAlignment="1">
      <alignment horizontal="center"/>
    </xf>
    <xf numFmtId="169" fontId="10" fillId="0" borderId="14" xfId="0" quotePrefix="1" applyNumberFormat="1" applyFont="1" applyBorder="1" applyAlignment="1">
      <alignment horizontal="right"/>
    </xf>
    <xf numFmtId="174" fontId="10" fillId="0" borderId="14" xfId="0" quotePrefix="1" applyNumberFormat="1" applyFont="1" applyBorder="1" applyAlignment="1">
      <alignment horizontal="right"/>
    </xf>
    <xf numFmtId="41" fontId="10" fillId="0" borderId="15" xfId="0" quotePrefix="1" applyNumberFormat="1" applyFont="1" applyBorder="1" applyAlignment="1">
      <alignment horizontal="center"/>
    </xf>
    <xf numFmtId="41" fontId="10" fillId="0" borderId="22" xfId="0" quotePrefix="1" applyNumberFormat="1" applyFont="1" applyBorder="1" applyAlignment="1">
      <alignment horizontal="center"/>
    </xf>
    <xf numFmtId="41" fontId="10" fillId="0" borderId="19" xfId="0" quotePrefix="1" applyNumberFormat="1" applyFont="1" applyBorder="1" applyAlignment="1">
      <alignment horizontal="center"/>
    </xf>
    <xf numFmtId="11" fontId="10" fillId="0" borderId="15" xfId="0" quotePrefix="1" applyNumberFormat="1" applyFont="1" applyBorder="1" applyAlignment="1">
      <alignment horizontal="center"/>
    </xf>
    <xf numFmtId="11" fontId="10" fillId="0" borderId="19" xfId="0" quotePrefix="1" applyNumberFormat="1" applyFont="1" applyBorder="1" applyAlignment="1">
      <alignment horizontal="center"/>
    </xf>
    <xf numFmtId="177" fontId="10" fillId="0" borderId="14" xfId="0" quotePrefix="1" applyNumberFormat="1" applyFont="1" applyBorder="1" applyAlignment="1">
      <alignment horizontal="right"/>
    </xf>
    <xf numFmtId="11" fontId="10" fillId="0" borderId="14" xfId="0" quotePrefix="1" applyNumberFormat="1" applyFont="1" applyBorder="1" applyAlignment="1"/>
    <xf numFmtId="175" fontId="10" fillId="0" borderId="14" xfId="0" quotePrefix="1" applyNumberFormat="1" applyFont="1" applyBorder="1" applyAlignment="1">
      <alignment horizontal="right"/>
    </xf>
    <xf numFmtId="0" fontId="10" fillId="0" borderId="24" xfId="0" applyFont="1" applyFill="1" applyBorder="1" applyAlignment="1">
      <alignment horizontal="center" vertical="center"/>
    </xf>
    <xf numFmtId="0" fontId="10" fillId="0" borderId="52" xfId="0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11" fontId="10" fillId="0" borderId="14" xfId="0" applyNumberFormat="1" applyFont="1" applyBorder="1" applyAlignment="1"/>
    <xf numFmtId="0" fontId="15" fillId="0" borderId="0" xfId="0" applyFont="1"/>
    <xf numFmtId="0" fontId="15" fillId="0" borderId="0" xfId="0" applyFont="1" applyAlignment="1">
      <alignment vertical="center"/>
    </xf>
    <xf numFmtId="3" fontId="15" fillId="0" borderId="0" xfId="0" applyNumberFormat="1" applyFont="1" applyAlignment="1">
      <alignment vertical="center"/>
    </xf>
    <xf numFmtId="0" fontId="16" fillId="0" borderId="0" xfId="0" applyFont="1"/>
    <xf numFmtId="0" fontId="15" fillId="0" borderId="0" xfId="0" applyFont="1" applyAlignment="1">
      <alignment horizontal="center" vertical="center"/>
    </xf>
    <xf numFmtId="0" fontId="16" fillId="8" borderId="14" xfId="0" applyFont="1" applyFill="1" applyBorder="1" applyAlignment="1">
      <alignment horizontal="center" vertical="center" wrapText="1"/>
    </xf>
    <xf numFmtId="0" fontId="16" fillId="8" borderId="14" xfId="0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167" fontId="15" fillId="0" borderId="14" xfId="0" applyNumberFormat="1" applyFont="1" applyBorder="1" applyAlignment="1">
      <alignment horizontal="center" vertical="center"/>
    </xf>
    <xf numFmtId="2" fontId="15" fillId="0" borderId="14" xfId="0" applyNumberFormat="1" applyFont="1" applyBorder="1" applyAlignment="1">
      <alignment horizontal="center" vertical="center"/>
    </xf>
    <xf numFmtId="1" fontId="15" fillId="0" borderId="14" xfId="0" applyNumberFormat="1" applyFont="1" applyBorder="1" applyAlignment="1">
      <alignment horizontal="center" vertical="center"/>
    </xf>
    <xf numFmtId="166" fontId="15" fillId="0" borderId="14" xfId="0" applyNumberFormat="1" applyFont="1" applyBorder="1" applyAlignment="1">
      <alignment horizontal="center" vertical="center"/>
    </xf>
    <xf numFmtId="3" fontId="15" fillId="0" borderId="14" xfId="0" applyNumberFormat="1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1" fontId="15" fillId="0" borderId="14" xfId="0" applyNumberFormat="1" applyFont="1" applyBorder="1" applyAlignment="1">
      <alignment horizontal="center"/>
    </xf>
    <xf numFmtId="2" fontId="15" fillId="0" borderId="14" xfId="0" quotePrefix="1" applyNumberFormat="1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/>
    </xf>
    <xf numFmtId="0" fontId="15" fillId="0" borderId="2" xfId="0" applyFont="1" applyBorder="1" applyAlignment="1">
      <alignment horizontal="left"/>
    </xf>
    <xf numFmtId="0" fontId="16" fillId="8" borderId="16" xfId="0" applyFont="1" applyFill="1" applyBorder="1" applyAlignment="1">
      <alignment horizontal="center" vertical="center" wrapText="1"/>
    </xf>
    <xf numFmtId="0" fontId="16" fillId="8" borderId="17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8" borderId="18" xfId="0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vertical="center" wrapText="1"/>
    </xf>
    <xf numFmtId="11" fontId="15" fillId="0" borderId="14" xfId="0" applyNumberFormat="1" applyFont="1" applyBorder="1" applyAlignment="1">
      <alignment horizontal="center" vertical="center"/>
    </xf>
    <xf numFmtId="0" fontId="15" fillId="0" borderId="0" xfId="0" quotePrefix="1" applyFont="1" applyAlignment="1">
      <alignment horizontal="left" vertical="center" wrapText="1"/>
    </xf>
    <xf numFmtId="166" fontId="15" fillId="0" borderId="14" xfId="0" applyNumberFormat="1" applyFont="1" applyBorder="1" applyAlignment="1">
      <alignment horizontal="center"/>
    </xf>
    <xf numFmtId="2" fontId="16" fillId="8" borderId="14" xfId="0" applyNumberFormat="1" applyFont="1" applyFill="1" applyBorder="1" applyAlignment="1">
      <alignment horizontal="center" vertical="center" wrapText="1"/>
    </xf>
    <xf numFmtId="2" fontId="15" fillId="0" borderId="14" xfId="0" applyNumberFormat="1" applyFont="1" applyBorder="1" applyAlignment="1">
      <alignment horizontal="center"/>
    </xf>
    <xf numFmtId="0" fontId="15" fillId="0" borderId="2" xfId="0" applyFont="1" applyBorder="1" applyAlignment="1">
      <alignment horizontal="left" wrapText="1"/>
    </xf>
    <xf numFmtId="0" fontId="16" fillId="0" borderId="0" xfId="0" applyFont="1" applyAlignment="1">
      <alignment horizontal="center" vertical="center" wrapText="1"/>
    </xf>
    <xf numFmtId="166" fontId="15" fillId="0" borderId="0" xfId="0" applyNumberFormat="1" applyFont="1" applyAlignment="1">
      <alignment horizontal="center" vertical="center"/>
    </xf>
    <xf numFmtId="11" fontId="15" fillId="0" borderId="0" xfId="0" applyNumberFormat="1" applyFont="1" applyAlignment="1">
      <alignment horizontal="center" vertical="center"/>
    </xf>
    <xf numFmtId="2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3" fontId="15" fillId="0" borderId="0" xfId="0" applyNumberFormat="1" applyFont="1" applyAlignment="1">
      <alignment horizontal="center" vertical="center"/>
    </xf>
    <xf numFmtId="0" fontId="15" fillId="0" borderId="0" xfId="0" quotePrefix="1" applyFont="1" applyAlignment="1">
      <alignment horizontal="left" vertical="center" wrapText="1"/>
    </xf>
    <xf numFmtId="0" fontId="16" fillId="0" borderId="0" xfId="0" applyFont="1" applyAlignment="1">
      <alignment vertical="center" wrapText="1"/>
    </xf>
    <xf numFmtId="0" fontId="16" fillId="8" borderId="14" xfId="0" applyFont="1" applyFill="1" applyBorder="1" applyAlignment="1">
      <alignment horizontal="center" wrapText="1"/>
    </xf>
    <xf numFmtId="0" fontId="16" fillId="8" borderId="14" xfId="0" applyFont="1" applyFill="1" applyBorder="1" applyAlignment="1">
      <alignment wrapText="1"/>
    </xf>
    <xf numFmtId="0" fontId="15" fillId="0" borderId="14" xfId="0" applyFont="1" applyBorder="1" applyAlignment="1">
      <alignment wrapText="1"/>
    </xf>
    <xf numFmtId="0" fontId="17" fillId="0" borderId="0" xfId="0" applyFont="1" applyAlignment="1">
      <alignment horizontal="left" vertical="center" indent="1"/>
    </xf>
    <xf numFmtId="0" fontId="10" fillId="0" borderId="0" xfId="0" applyFont="1" applyAlignment="1">
      <alignment wrapText="1"/>
    </xf>
    <xf numFmtId="166" fontId="10" fillId="0" borderId="0" xfId="0" applyNumberFormat="1" applyFont="1"/>
    <xf numFmtId="171" fontId="10" fillId="0" borderId="0" xfId="0" applyNumberFormat="1" applyFont="1"/>
    <xf numFmtId="0" fontId="17" fillId="0" borderId="0" xfId="0" applyFont="1"/>
    <xf numFmtId="1" fontId="15" fillId="0" borderId="0" xfId="0" applyNumberFormat="1" applyFont="1" applyAlignment="1">
      <alignment horizontal="center" vertical="center"/>
    </xf>
    <xf numFmtId="1" fontId="15" fillId="0" borderId="0" xfId="0" applyNumberFormat="1" applyFont="1" applyAlignment="1">
      <alignment horizontal="center" vertical="center" wrapText="1"/>
    </xf>
    <xf numFmtId="2" fontId="15" fillId="0" borderId="0" xfId="0" applyNumberFormat="1" applyFont="1" applyAlignment="1">
      <alignment horizontal="center" vertical="center" wrapText="1"/>
    </xf>
    <xf numFmtId="0" fontId="15" fillId="0" borderId="0" xfId="0" quotePrefix="1" applyFont="1" applyAlignment="1">
      <alignment horizontal="center" vertical="center" wrapText="1"/>
    </xf>
    <xf numFmtId="0" fontId="15" fillId="0" borderId="14" xfId="0" quotePrefix="1" applyFont="1" applyBorder="1" applyAlignment="1">
      <alignment vertical="center" wrapText="1"/>
    </xf>
    <xf numFmtId="37" fontId="15" fillId="0" borderId="14" xfId="1" applyNumberFormat="1" applyFont="1" applyBorder="1" applyAlignment="1">
      <alignment horizontal="center" vertical="center"/>
    </xf>
    <xf numFmtId="1" fontId="15" fillId="0" borderId="14" xfId="0" applyNumberFormat="1" applyFont="1" applyFill="1" applyBorder="1" applyAlignment="1">
      <alignment horizontal="center" vertical="center"/>
    </xf>
    <xf numFmtId="167" fontId="15" fillId="0" borderId="14" xfId="0" applyNumberFormat="1" applyFont="1" applyFill="1" applyBorder="1" applyAlignment="1">
      <alignment horizontal="center" vertical="center"/>
    </xf>
    <xf numFmtId="166" fontId="15" fillId="0" borderId="14" xfId="0" applyNumberFormat="1" applyFont="1" applyFill="1" applyBorder="1" applyAlignment="1">
      <alignment horizontal="center" vertical="center"/>
    </xf>
    <xf numFmtId="2" fontId="15" fillId="0" borderId="14" xfId="0" applyNumberFormat="1" applyFont="1" applyFill="1" applyBorder="1" applyAlignment="1">
      <alignment horizontal="center" vertical="center"/>
    </xf>
    <xf numFmtId="0" fontId="16" fillId="8" borderId="13" xfId="0" applyFont="1" applyFill="1" applyBorder="1" applyAlignment="1">
      <alignment vertical="center"/>
    </xf>
    <xf numFmtId="0" fontId="15" fillId="8" borderId="8" xfId="0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16" fillId="8" borderId="15" xfId="0" applyFont="1" applyFill="1" applyBorder="1" applyAlignment="1">
      <alignment horizontal="center" vertical="center" wrapText="1"/>
    </xf>
    <xf numFmtId="0" fontId="16" fillId="8" borderId="22" xfId="0" applyFont="1" applyFill="1" applyBorder="1" applyAlignment="1">
      <alignment horizontal="center" vertical="center" wrapText="1"/>
    </xf>
    <xf numFmtId="0" fontId="16" fillId="8" borderId="19" xfId="0" applyFont="1" applyFill="1" applyBorder="1" applyAlignment="1">
      <alignment horizontal="center" vertical="center" wrapText="1"/>
    </xf>
    <xf numFmtId="173" fontId="15" fillId="0" borderId="14" xfId="0" applyNumberFormat="1" applyFont="1" applyFill="1" applyBorder="1" applyAlignment="1">
      <alignment horizontal="center" vertical="center"/>
    </xf>
    <xf numFmtId="3" fontId="15" fillId="0" borderId="14" xfId="0" applyNumberFormat="1" applyFont="1" applyFill="1" applyBorder="1" applyAlignment="1">
      <alignment horizontal="center" vertical="center" wrapText="1"/>
    </xf>
    <xf numFmtId="3" fontId="15" fillId="0" borderId="14" xfId="0" applyNumberFormat="1" applyFont="1" applyBorder="1" applyAlignment="1">
      <alignment horizontal="center" vertical="center" wrapText="1"/>
    </xf>
    <xf numFmtId="0" fontId="16" fillId="8" borderId="14" xfId="0" applyFont="1" applyFill="1" applyBorder="1" applyAlignment="1">
      <alignment horizontal="center" vertical="center"/>
    </xf>
    <xf numFmtId="170" fontId="15" fillId="0" borderId="14" xfId="1" applyNumberFormat="1" applyFont="1" applyFill="1" applyBorder="1" applyAlignment="1">
      <alignment horizontal="center" vertical="center"/>
    </xf>
    <xf numFmtId="11" fontId="15" fillId="0" borderId="14" xfId="0" applyNumberFormat="1" applyFont="1" applyFill="1" applyBorder="1" applyAlignment="1">
      <alignment horizontal="center" vertical="center"/>
    </xf>
    <xf numFmtId="0" fontId="15" fillId="0" borderId="14" xfId="0" quotePrefix="1" applyFont="1" applyFill="1" applyBorder="1" applyAlignment="1">
      <alignment horizontal="center" vertical="center" wrapText="1"/>
    </xf>
    <xf numFmtId="3" fontId="15" fillId="0" borderId="14" xfId="0" applyNumberFormat="1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37" fontId="15" fillId="0" borderId="14" xfId="1" applyNumberFormat="1" applyFont="1" applyFill="1" applyBorder="1" applyAlignment="1">
      <alignment horizontal="center" vertical="center"/>
    </xf>
    <xf numFmtId="0" fontId="15" fillId="0" borderId="14" xfId="0" applyFont="1" applyBorder="1" applyAlignment="1">
      <alignment horizontal="center" vertical="center" wrapText="1"/>
    </xf>
    <xf numFmtId="1" fontId="15" fillId="0" borderId="14" xfId="0" applyNumberFormat="1" applyFont="1" applyBorder="1" applyAlignment="1">
      <alignment horizontal="center" vertical="center"/>
    </xf>
    <xf numFmtId="0" fontId="15" fillId="0" borderId="14" xfId="0" applyFont="1" applyBorder="1" applyAlignment="1">
      <alignment horizontal="center" wrapText="1"/>
    </xf>
    <xf numFmtId="166" fontId="15" fillId="0" borderId="14" xfId="0" applyNumberFormat="1" applyFont="1" applyBorder="1" applyAlignment="1">
      <alignment horizontal="center" wrapText="1"/>
    </xf>
    <xf numFmtId="11" fontId="15" fillId="0" borderId="14" xfId="0" applyNumberFormat="1" applyFont="1" applyBorder="1" applyAlignment="1">
      <alignment horizontal="center" wrapText="1"/>
    </xf>
    <xf numFmtId="0" fontId="15" fillId="0" borderId="0" xfId="0" applyFont="1" applyAlignment="1">
      <alignment vertical="center" wrapText="1"/>
    </xf>
    <xf numFmtId="0" fontId="16" fillId="8" borderId="14" xfId="0" applyFont="1" applyFill="1" applyBorder="1" applyAlignment="1">
      <alignment horizontal="center" wrapText="1"/>
    </xf>
    <xf numFmtId="0" fontId="15" fillId="0" borderId="14" xfId="0" quotePrefix="1" applyFont="1" applyBorder="1" applyAlignment="1">
      <alignment horizontal="left" vertical="center" wrapText="1"/>
    </xf>
    <xf numFmtId="1" fontId="15" fillId="0" borderId="14" xfId="1" applyNumberFormat="1" applyFont="1" applyBorder="1" applyAlignment="1">
      <alignment horizontal="center" vertical="center"/>
    </xf>
    <xf numFmtId="166" fontId="15" fillId="0" borderId="14" xfId="1" applyNumberFormat="1" applyFont="1" applyBorder="1" applyAlignment="1">
      <alignment horizontal="center" vertical="center"/>
    </xf>
    <xf numFmtId="0" fontId="15" fillId="0" borderId="14" xfId="0" quotePrefix="1" applyFont="1" applyFill="1" applyBorder="1" applyAlignment="1">
      <alignment horizontal="left" vertical="center" wrapText="1"/>
    </xf>
    <xf numFmtId="0" fontId="15" fillId="0" borderId="14" xfId="0" applyFont="1" applyFill="1" applyBorder="1" applyAlignment="1">
      <alignment horizontal="center" vertical="center" wrapText="1"/>
    </xf>
    <xf numFmtId="171" fontId="15" fillId="0" borderId="14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5" fillId="0" borderId="0" xfId="0" quotePrefix="1" applyFont="1" applyFill="1" applyAlignment="1">
      <alignment horizontal="left" vertical="center" wrapText="1"/>
    </xf>
    <xf numFmtId="0" fontId="15" fillId="0" borderId="0" xfId="0" applyFont="1" applyFill="1"/>
    <xf numFmtId="0" fontId="11" fillId="2" borderId="41" xfId="0" applyFont="1" applyFill="1" applyBorder="1" applyAlignment="1">
      <alignment horizontal="center"/>
    </xf>
    <xf numFmtId="0" fontId="11" fillId="2" borderId="32" xfId="0" applyFont="1" applyFill="1" applyBorder="1" applyAlignment="1">
      <alignment horizontal="center"/>
    </xf>
    <xf numFmtId="0" fontId="11" fillId="2" borderId="42" xfId="0" applyFont="1" applyFill="1" applyBorder="1" applyAlignment="1">
      <alignment horizontal="center"/>
    </xf>
    <xf numFmtId="0" fontId="11" fillId="2" borderId="28" xfId="0" applyFont="1" applyFill="1" applyBorder="1" applyAlignment="1">
      <alignment horizontal="center" vertical="center" wrapText="1"/>
    </xf>
    <xf numFmtId="0" fontId="11" fillId="2" borderId="29" xfId="0" applyFont="1" applyFill="1" applyBorder="1" applyAlignment="1">
      <alignment horizontal="center" vertical="center" wrapText="1"/>
    </xf>
    <xf numFmtId="0" fontId="11" fillId="2" borderId="28" xfId="0" applyFont="1" applyFill="1" applyBorder="1" applyAlignment="1">
      <alignment horizontal="center" vertical="center"/>
    </xf>
    <xf numFmtId="0" fontId="11" fillId="2" borderId="43" xfId="0" applyFont="1" applyFill="1" applyBorder="1" applyAlignment="1">
      <alignment horizontal="center" vertical="center" wrapText="1"/>
    </xf>
    <xf numFmtId="0" fontId="11" fillId="2" borderId="39" xfId="0" applyFont="1" applyFill="1" applyBorder="1" applyAlignment="1">
      <alignment horizontal="center" vertical="center" wrapText="1"/>
    </xf>
    <xf numFmtId="0" fontId="11" fillId="2" borderId="43" xfId="0" applyFont="1" applyFill="1" applyBorder="1" applyAlignment="1">
      <alignment horizontal="center" vertical="center"/>
    </xf>
    <xf numFmtId="3" fontId="15" fillId="0" borderId="0" xfId="0" applyNumberFormat="1" applyFont="1"/>
    <xf numFmtId="0" fontId="11" fillId="2" borderId="1" xfId="0" applyFont="1" applyFill="1" applyBorder="1" applyAlignment="1">
      <alignment horizontal="center"/>
    </xf>
    <xf numFmtId="0" fontId="11" fillId="2" borderId="33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1" fillId="2" borderId="24" xfId="0" applyFont="1" applyFill="1" applyBorder="1" applyAlignment="1">
      <alignment horizontal="center"/>
    </xf>
    <xf numFmtId="0" fontId="11" fillId="2" borderId="14" xfId="0" applyFont="1" applyFill="1" applyBorder="1" applyAlignment="1"/>
    <xf numFmtId="0" fontId="11" fillId="2" borderId="14" xfId="0" applyFont="1" applyFill="1" applyBorder="1" applyAlignment="1">
      <alignment wrapText="1"/>
    </xf>
    <xf numFmtId="0" fontId="10" fillId="0" borderId="14" xfId="0" applyFont="1" applyFill="1" applyBorder="1" applyAlignment="1">
      <alignment horizontal="left" vertical="center" wrapText="1"/>
    </xf>
    <xf numFmtId="0" fontId="10" fillId="0" borderId="14" xfId="0" applyFont="1" applyBorder="1" applyAlignment="1">
      <alignment horizontal="center"/>
    </xf>
    <xf numFmtId="3" fontId="10" fillId="0" borderId="14" xfId="0" applyNumberFormat="1" applyFont="1" applyBorder="1"/>
    <xf numFmtId="0" fontId="10" fillId="0" borderId="14" xfId="0" applyFont="1" applyBorder="1" applyAlignment="1"/>
    <xf numFmtId="1" fontId="10" fillId="0" borderId="14" xfId="0" applyNumberFormat="1" applyFont="1" applyBorder="1" applyAlignment="1"/>
    <xf numFmtId="164" fontId="10" fillId="0" borderId="14" xfId="1" applyNumberFormat="1" applyFont="1" applyBorder="1" applyAlignment="1"/>
    <xf numFmtId="0" fontId="11" fillId="2" borderId="14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wrapText="1"/>
    </xf>
    <xf numFmtId="11" fontId="10" fillId="0" borderId="14" xfId="0" applyNumberFormat="1" applyFont="1" applyFill="1" applyBorder="1" applyAlignment="1">
      <alignment horizontal="right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horizontal="right" wrapText="1"/>
    </xf>
    <xf numFmtId="11" fontId="10" fillId="0" borderId="0" xfId="0" applyNumberFormat="1" applyFont="1" applyBorder="1" applyAlignment="1">
      <alignment wrapText="1"/>
    </xf>
    <xf numFmtId="0" fontId="11" fillId="2" borderId="15" xfId="0" applyFont="1" applyFill="1" applyBorder="1" applyAlignment="1">
      <alignment horizontal="center" wrapText="1"/>
    </xf>
    <xf numFmtId="0" fontId="11" fillId="2" borderId="22" xfId="0" applyFont="1" applyFill="1" applyBorder="1" applyAlignment="1">
      <alignment horizontal="center" wrapText="1"/>
    </xf>
    <xf numFmtId="0" fontId="11" fillId="2" borderId="19" xfId="0" applyFont="1" applyFill="1" applyBorder="1" applyAlignment="1">
      <alignment horizontal="center" wrapText="1"/>
    </xf>
    <xf numFmtId="0" fontId="11" fillId="2" borderId="16" xfId="0" applyFont="1" applyFill="1" applyBorder="1" applyAlignment="1">
      <alignment horizontal="center" wrapText="1"/>
    </xf>
    <xf numFmtId="0" fontId="11" fillId="2" borderId="17" xfId="0" applyFont="1" applyFill="1" applyBorder="1" applyAlignment="1">
      <alignment horizontal="center" wrapText="1"/>
    </xf>
    <xf numFmtId="0" fontId="11" fillId="2" borderId="18" xfId="0" applyFont="1" applyFill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164" fontId="10" fillId="0" borderId="14" xfId="1" applyNumberFormat="1" applyFont="1" applyBorder="1" applyAlignment="1">
      <alignment wrapText="1"/>
    </xf>
    <xf numFmtId="0" fontId="10" fillId="0" borderId="14" xfId="0" applyFont="1" applyFill="1" applyBorder="1" applyAlignment="1">
      <alignment wrapText="1"/>
    </xf>
    <xf numFmtId="0" fontId="10" fillId="0" borderId="15" xfId="0" applyFont="1" applyBorder="1" applyAlignment="1">
      <alignment horizontal="center" wrapText="1"/>
    </xf>
    <xf numFmtId="0" fontId="10" fillId="0" borderId="19" xfId="0" applyFont="1" applyBorder="1" applyAlignment="1">
      <alignment horizontal="center" wrapText="1"/>
    </xf>
    <xf numFmtId="164" fontId="10" fillId="0" borderId="19" xfId="1" applyNumberFormat="1" applyFont="1" applyBorder="1" applyAlignment="1">
      <alignment wrapText="1"/>
    </xf>
    <xf numFmtId="43" fontId="10" fillId="0" borderId="0" xfId="1" applyFont="1"/>
    <xf numFmtId="0" fontId="11" fillId="2" borderId="16" xfId="0" applyFont="1" applyFill="1" applyBorder="1" applyAlignment="1">
      <alignment horizontal="center"/>
    </xf>
    <xf numFmtId="0" fontId="11" fillId="2" borderId="14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33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 vertical="center"/>
    </xf>
    <xf numFmtId="0" fontId="11" fillId="2" borderId="24" xfId="0" applyFont="1" applyFill="1" applyBorder="1" applyAlignment="1">
      <alignment horizontal="center" vertical="center"/>
    </xf>
    <xf numFmtId="0" fontId="11" fillId="0" borderId="14" xfId="0" applyFont="1" applyBorder="1"/>
    <xf numFmtId="0" fontId="10" fillId="0" borderId="1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17" xfId="0" applyFont="1" applyBorder="1"/>
    <xf numFmtId="0" fontId="11" fillId="2" borderId="14" xfId="0" applyFont="1" applyFill="1" applyBorder="1" applyAlignment="1">
      <alignment horizontal="center"/>
    </xf>
    <xf numFmtId="0" fontId="11" fillId="0" borderId="14" xfId="0" applyFont="1" applyFill="1" applyBorder="1" applyAlignment="1">
      <alignment wrapText="1"/>
    </xf>
    <xf numFmtId="0" fontId="11" fillId="2" borderId="15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wrapText="1"/>
    </xf>
    <xf numFmtId="1" fontId="10" fillId="0" borderId="14" xfId="0" applyNumberFormat="1" applyFont="1" applyFill="1" applyBorder="1"/>
    <xf numFmtId="164" fontId="10" fillId="0" borderId="0" xfId="1" applyNumberFormat="1" applyFont="1" applyAlignment="1">
      <alignment wrapText="1"/>
    </xf>
    <xf numFmtId="0" fontId="11" fillId="2" borderId="14" xfId="0" applyFont="1" applyFill="1" applyBorder="1"/>
    <xf numFmtId="0" fontId="11" fillId="2" borderId="4" xfId="0" applyFont="1" applyFill="1" applyBorder="1" applyAlignment="1">
      <alignment horizontal="center" wrapText="1"/>
    </xf>
    <xf numFmtId="0" fontId="11" fillId="2" borderId="37" xfId="0" applyFont="1" applyFill="1" applyBorder="1" applyAlignment="1">
      <alignment horizontal="center" wrapText="1"/>
    </xf>
    <xf numFmtId="0" fontId="11" fillId="2" borderId="5" xfId="0" applyFont="1" applyFill="1" applyBorder="1" applyAlignment="1">
      <alignment horizontal="center" wrapText="1"/>
    </xf>
    <xf numFmtId="0" fontId="11" fillId="2" borderId="24" xfId="0" applyFont="1" applyFill="1" applyBorder="1" applyAlignment="1">
      <alignment horizontal="center" wrapText="1"/>
    </xf>
    <xf numFmtId="0" fontId="11" fillId="0" borderId="14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vertical="center"/>
    </xf>
    <xf numFmtId="11" fontId="11" fillId="0" borderId="14" xfId="0" applyNumberFormat="1" applyFont="1" applyFill="1" applyBorder="1"/>
    <xf numFmtId="43" fontId="10" fillId="0" borderId="14" xfId="0" applyNumberFormat="1" applyFont="1" applyBorder="1" applyAlignment="1">
      <alignment wrapText="1"/>
    </xf>
    <xf numFmtId="0" fontId="11" fillId="0" borderId="0" xfId="0" applyFont="1" applyAlignment="1">
      <alignment horizontal="right"/>
    </xf>
    <xf numFmtId="0" fontId="11" fillId="2" borderId="15" xfId="0" applyFont="1" applyFill="1" applyBorder="1" applyAlignment="1">
      <alignment horizontal="center"/>
    </xf>
    <xf numFmtId="0" fontId="11" fillId="2" borderId="22" xfId="0" applyFont="1" applyFill="1" applyBorder="1" applyAlignment="1">
      <alignment horizontal="center"/>
    </xf>
    <xf numFmtId="0" fontId="11" fillId="2" borderId="19" xfId="0" applyFont="1" applyFill="1" applyBorder="1" applyAlignment="1">
      <alignment horizontal="center"/>
    </xf>
    <xf numFmtId="0" fontId="11" fillId="0" borderId="0" xfId="0" applyFont="1" applyBorder="1"/>
    <xf numFmtId="164" fontId="10" fillId="0" borderId="0" xfId="0" applyNumberFormat="1" applyFont="1" applyBorder="1"/>
    <xf numFmtId="11" fontId="10" fillId="0" borderId="0" xfId="0" applyNumberFormat="1" applyFont="1" applyBorder="1"/>
    <xf numFmtId="0" fontId="10" fillId="0" borderId="0" xfId="0" applyFont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/>
    <xf numFmtId="0" fontId="11" fillId="0" borderId="0" xfId="0" applyFont="1" applyFill="1" applyBorder="1" applyAlignment="1">
      <alignment horizontal="center" wrapText="1"/>
    </xf>
    <xf numFmtId="0" fontId="10" fillId="10" borderId="0" xfId="0" applyFont="1" applyFill="1" applyAlignment="1">
      <alignment horizontal="center" wrapText="1"/>
    </xf>
    <xf numFmtId="0" fontId="10" fillId="0" borderId="3" xfId="0" applyFont="1" applyBorder="1" applyAlignment="1">
      <alignment horizontal="center"/>
    </xf>
    <xf numFmtId="49" fontId="11" fillId="2" borderId="14" xfId="0" applyNumberFormat="1" applyFont="1" applyFill="1" applyBorder="1"/>
    <xf numFmtId="49" fontId="11" fillId="2" borderId="14" xfId="0" applyNumberFormat="1" applyFont="1" applyFill="1" applyBorder="1" applyAlignment="1">
      <alignment wrapText="1"/>
    </xf>
    <xf numFmtId="0" fontId="11" fillId="2" borderId="14" xfId="0" applyFont="1" applyFill="1" applyBorder="1" applyAlignment="1">
      <alignment horizontal="left" wrapText="1"/>
    </xf>
    <xf numFmtId="49" fontId="11" fillId="2" borderId="14" xfId="0" applyNumberFormat="1" applyFont="1" applyFill="1" applyBorder="1" applyAlignment="1">
      <alignment horizontal="left" wrapText="1"/>
    </xf>
    <xf numFmtId="0" fontId="11" fillId="10" borderId="14" xfId="0" applyFont="1" applyFill="1" applyBorder="1" applyAlignment="1">
      <alignment wrapText="1"/>
    </xf>
    <xf numFmtId="49" fontId="10" fillId="0" borderId="0" xfId="0" applyNumberFormat="1" applyFont="1"/>
    <xf numFmtId="49" fontId="10" fillId="0" borderId="0" xfId="0" applyNumberFormat="1" applyFont="1" applyAlignment="1">
      <alignment wrapText="1"/>
    </xf>
    <xf numFmtId="1" fontId="10" fillId="0" borderId="0" xfId="0" applyNumberFormat="1" applyFont="1"/>
    <xf numFmtId="1" fontId="10" fillId="0" borderId="0" xfId="0" applyNumberFormat="1" applyFont="1" applyFill="1"/>
    <xf numFmtId="166" fontId="10" fillId="0" borderId="0" xfId="0" applyNumberFormat="1" applyFont="1" applyFill="1"/>
    <xf numFmtId="0" fontId="10" fillId="0" borderId="0" xfId="0" applyFont="1" applyFill="1" applyAlignment="1">
      <alignment wrapText="1"/>
    </xf>
    <xf numFmtId="0" fontId="10" fillId="0" borderId="18" xfId="0" applyFont="1" applyBorder="1" applyAlignment="1">
      <alignment wrapText="1"/>
    </xf>
    <xf numFmtId="0" fontId="10" fillId="0" borderId="18" xfId="0" applyFont="1" applyFill="1" applyBorder="1" applyAlignment="1">
      <alignment horizontal="right" wrapText="1"/>
    </xf>
    <xf numFmtId="11" fontId="10" fillId="0" borderId="18" xfId="0" applyNumberFormat="1" applyFont="1" applyFill="1" applyBorder="1" applyAlignment="1">
      <alignment horizontal="right" wrapText="1"/>
    </xf>
    <xf numFmtId="0" fontId="10" fillId="0" borderId="14" xfId="0" applyFont="1" applyFill="1" applyBorder="1" applyAlignment="1">
      <alignment horizontal="right" wrapText="1"/>
    </xf>
    <xf numFmtId="0" fontId="10" fillId="0" borderId="14" xfId="0" applyFont="1" applyBorder="1" applyAlignment="1">
      <alignment horizontal="left" vertical="center" wrapText="1"/>
    </xf>
    <xf numFmtId="11" fontId="10" fillId="0" borderId="0" xfId="0" applyNumberFormat="1" applyFont="1" applyBorder="1" applyAlignment="1">
      <alignment horizontal="right" wrapText="1"/>
    </xf>
    <xf numFmtId="11" fontId="10" fillId="0" borderId="14" xfId="0" applyNumberFormat="1" applyFont="1" applyFill="1" applyBorder="1" applyAlignment="1">
      <alignment wrapText="1"/>
    </xf>
    <xf numFmtId="0" fontId="11" fillId="5" borderId="5" xfId="0" applyFont="1" applyFill="1" applyBorder="1" applyAlignment="1">
      <alignment horizontal="center" wrapText="1"/>
    </xf>
    <xf numFmtId="0" fontId="11" fillId="5" borderId="3" xfId="0" applyFont="1" applyFill="1" applyBorder="1" applyAlignment="1">
      <alignment horizontal="center" wrapText="1"/>
    </xf>
    <xf numFmtId="0" fontId="11" fillId="5" borderId="14" xfId="0" applyFont="1" applyFill="1" applyBorder="1" applyAlignment="1">
      <alignment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2" fontId="10" fillId="0" borderId="14" xfId="0" applyNumberFormat="1" applyFont="1" applyBorder="1" applyAlignment="1">
      <alignment wrapText="1"/>
    </xf>
    <xf numFmtId="11" fontId="10" fillId="0" borderId="14" xfId="0" applyNumberFormat="1" applyFont="1" applyBorder="1" applyAlignment="1">
      <alignment wrapText="1"/>
    </xf>
    <xf numFmtId="0" fontId="10" fillId="0" borderId="0" xfId="0" applyFont="1" applyAlignment="1">
      <alignment horizontal="right" wrapText="1"/>
    </xf>
    <xf numFmtId="11" fontId="10" fillId="0" borderId="0" xfId="0" applyNumberFormat="1" applyFont="1" applyAlignment="1">
      <alignment horizontal="right" wrapText="1"/>
    </xf>
    <xf numFmtId="11" fontId="10" fillId="0" borderId="0" xfId="0" applyNumberFormat="1" applyFont="1" applyAlignment="1">
      <alignment wrapText="1"/>
    </xf>
    <xf numFmtId="3" fontId="10" fillId="0" borderId="14" xfId="0" applyNumberFormat="1" applyFont="1" applyBorder="1" applyAlignment="1">
      <alignment wrapText="1"/>
    </xf>
    <xf numFmtId="1" fontId="10" fillId="0" borderId="14" xfId="0" applyNumberFormat="1" applyFont="1" applyBorder="1" applyAlignment="1">
      <alignment wrapText="1"/>
    </xf>
    <xf numFmtId="2" fontId="10" fillId="0" borderId="14" xfId="0" applyNumberFormat="1" applyFont="1" applyFill="1" applyBorder="1" applyAlignment="1">
      <alignment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11" fontId="10" fillId="0" borderId="0" xfId="0" applyNumberFormat="1" applyFont="1" applyFill="1" applyAlignment="1">
      <alignment wrapText="1"/>
    </xf>
    <xf numFmtId="0" fontId="10" fillId="2" borderId="14" xfId="0" applyFont="1" applyFill="1" applyBorder="1" applyAlignment="1">
      <alignment wrapText="1"/>
    </xf>
    <xf numFmtId="172" fontId="10" fillId="0" borderId="0" xfId="0" applyNumberFormat="1" applyFont="1"/>
    <xf numFmtId="166" fontId="10" fillId="0" borderId="0" xfId="0" applyNumberFormat="1" applyFont="1" applyAlignment="1">
      <alignment wrapText="1"/>
    </xf>
    <xf numFmtId="171" fontId="10" fillId="0" borderId="0" xfId="0" applyNumberFormat="1" applyFont="1" applyAlignment="1">
      <alignment wrapText="1"/>
    </xf>
    <xf numFmtId="0" fontId="11" fillId="2" borderId="2" xfId="0" applyFont="1" applyFill="1" applyBorder="1" applyAlignment="1">
      <alignment horizontal="center" wrapText="1"/>
    </xf>
    <xf numFmtId="49" fontId="10" fillId="0" borderId="14" xfId="0" applyNumberFormat="1" applyFont="1" applyBorder="1" applyAlignment="1">
      <alignment horizontal="center" wrapText="1"/>
    </xf>
    <xf numFmtId="166" fontId="10" fillId="0" borderId="14" xfId="0" applyNumberFormat="1" applyFont="1" applyBorder="1" applyAlignment="1">
      <alignment wrapText="1"/>
    </xf>
    <xf numFmtId="0" fontId="11" fillId="2" borderId="14" xfId="0" applyFont="1" applyFill="1" applyBorder="1" applyAlignment="1">
      <alignment horizontal="right"/>
    </xf>
    <xf numFmtId="0" fontId="11" fillId="2" borderId="14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164" fontId="10" fillId="0" borderId="0" xfId="1" applyNumberFormat="1" applyFont="1" applyFill="1" applyBorder="1"/>
    <xf numFmtId="43" fontId="10" fillId="0" borderId="0" xfId="1" applyNumberFormat="1" applyFont="1" applyFill="1" applyBorder="1"/>
    <xf numFmtId="0" fontId="10" fillId="0" borderId="0" xfId="0" applyFont="1" applyFill="1" applyBorder="1"/>
    <xf numFmtId="0" fontId="11" fillId="0" borderId="0" xfId="0" applyFont="1" applyFill="1" applyBorder="1" applyAlignment="1"/>
    <xf numFmtId="0" fontId="11" fillId="0" borderId="3" xfId="0" applyFont="1" applyFill="1" applyBorder="1" applyAlignment="1"/>
    <xf numFmtId="0" fontId="10" fillId="0" borderId="14" xfId="0" applyFont="1" applyFill="1" applyBorder="1" applyAlignment="1">
      <alignment horizontal="right"/>
    </xf>
    <xf numFmtId="0" fontId="10" fillId="0" borderId="0" xfId="0" applyFont="1" applyAlignment="1">
      <alignment horizontal="right"/>
    </xf>
  </cellXfs>
  <cellStyles count="4">
    <cellStyle name="Comma" xfId="1" builtinId="3"/>
    <cellStyle name="Hyperlink" xfId="2" builtinId="8"/>
    <cellStyle name="Normal" xfId="0" builtinId="0"/>
    <cellStyle name="Normal 5" xfId="3" xr:uid="{B6A4254E-08C1-4A8C-BADA-E0AB3C1535BE}"/>
  </cellStyles>
  <dxfs count="0"/>
  <tableStyles count="0" defaultTableStyle="TableStyleMedium2" defaultPivotStyle="PivotStyleLight16"/>
  <colors>
    <mruColors>
      <color rgb="FFC6D9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microsoft.com/office/2017/10/relationships/person" Target="persons/person.xml"/><Relationship Id="rId38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37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36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35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CEB\ExistingChems\Work%20Plan%20Chemicals\TCE\Section%206\Risk%20Management%20Report\Final%20Spreadsheets\TCE%20Calculations%20Summary_Spot%20Cleaning_02-25-2016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CEB\ExistingChems\Work%20Plan%20Chemicals\TCE\2016%20Supplemental%20Technical%20Support\Final%20Models%20and%20Results\Spot%20and%20Aerosol\TCE%20Calculations%20Summary_Aerosol%20Degreasing_02-25-2016_v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Instructions"/>
      <sheetName val="Illustration"/>
      <sheetName val="Dashboard"/>
      <sheetName val="Heat Map"/>
      <sheetName val="RR Options Map"/>
      <sheetName val="Exposure Parameters"/>
      <sheetName val="Exposure Calcs"/>
      <sheetName val="Baseline Exposure Results"/>
      <sheetName val="Worker Risk Reduction Exposure"/>
      <sheetName val="Bystander Risk Reduction Exp"/>
      <sheetName val="Look-up Values"/>
    </sheetNames>
    <sheetDataSet>
      <sheetData sheetId="0"/>
      <sheetData sheetId="1"/>
      <sheetData sheetId="2"/>
      <sheetData sheetId="3"/>
      <sheetData sheetId="4"/>
      <sheetData sheetId="5">
        <row r="5">
          <cell r="B5" t="str">
            <v>RR001</v>
          </cell>
        </row>
        <row r="6">
          <cell r="B6" t="str">
            <v>RR002</v>
          </cell>
        </row>
        <row r="7">
          <cell r="B7" t="str">
            <v>RR003</v>
          </cell>
        </row>
        <row r="8">
          <cell r="B8" t="str">
            <v>RR004</v>
          </cell>
        </row>
        <row r="9">
          <cell r="B9" t="str">
            <v>RR005</v>
          </cell>
        </row>
        <row r="10">
          <cell r="B10" t="str">
            <v>RR006</v>
          </cell>
        </row>
        <row r="11">
          <cell r="B11" t="str">
            <v>RR007</v>
          </cell>
        </row>
        <row r="12">
          <cell r="B12" t="str">
            <v>RR008</v>
          </cell>
        </row>
        <row r="13">
          <cell r="B13" t="str">
            <v>RR009</v>
          </cell>
        </row>
        <row r="14">
          <cell r="B14" t="str">
            <v>RR010</v>
          </cell>
        </row>
        <row r="15">
          <cell r="B15" t="str">
            <v>RR011</v>
          </cell>
        </row>
        <row r="16">
          <cell r="B16" t="str">
            <v>RR012</v>
          </cell>
        </row>
        <row r="17">
          <cell r="B17" t="str">
            <v>RR013</v>
          </cell>
        </row>
        <row r="18">
          <cell r="B18" t="str">
            <v>RR014</v>
          </cell>
        </row>
        <row r="19">
          <cell r="B19" t="str">
            <v>RR015</v>
          </cell>
        </row>
        <row r="20">
          <cell r="B20" t="str">
            <v>RR016</v>
          </cell>
        </row>
        <row r="21">
          <cell r="B21" t="str">
            <v>RR017</v>
          </cell>
        </row>
        <row r="22">
          <cell r="B22" t="str">
            <v>RR018</v>
          </cell>
        </row>
        <row r="23">
          <cell r="B23" t="str">
            <v>RR019</v>
          </cell>
        </row>
        <row r="24">
          <cell r="B24" t="str">
            <v>RR020</v>
          </cell>
        </row>
        <row r="25">
          <cell r="B25" t="str">
            <v>RR021</v>
          </cell>
        </row>
        <row r="26">
          <cell r="B26" t="str">
            <v>RR022</v>
          </cell>
        </row>
        <row r="27">
          <cell r="B27" t="str">
            <v>RR023</v>
          </cell>
        </row>
        <row r="28">
          <cell r="B28" t="str">
            <v>RR024</v>
          </cell>
        </row>
        <row r="29">
          <cell r="B29" t="str">
            <v>RR025</v>
          </cell>
        </row>
        <row r="30">
          <cell r="B30" t="str">
            <v>RR026</v>
          </cell>
        </row>
        <row r="31">
          <cell r="B31" t="str">
            <v>RR027</v>
          </cell>
        </row>
        <row r="32">
          <cell r="B32" t="str">
            <v>RR028</v>
          </cell>
        </row>
        <row r="33">
          <cell r="B33" t="str">
            <v>RR029</v>
          </cell>
        </row>
        <row r="34">
          <cell r="B34" t="str">
            <v>RR030</v>
          </cell>
        </row>
        <row r="35">
          <cell r="B35" t="str">
            <v>RR031</v>
          </cell>
        </row>
        <row r="36">
          <cell r="B36" t="str">
            <v>RR032</v>
          </cell>
        </row>
        <row r="37">
          <cell r="B37" t="str">
            <v>RR033</v>
          </cell>
        </row>
        <row r="38">
          <cell r="B38" t="str">
            <v>RR034</v>
          </cell>
        </row>
        <row r="39">
          <cell r="B39" t="str">
            <v>RR035</v>
          </cell>
        </row>
        <row r="40">
          <cell r="B40" t="str">
            <v>RR036</v>
          </cell>
        </row>
        <row r="41">
          <cell r="B41" t="str">
            <v>RR037</v>
          </cell>
        </row>
        <row r="42">
          <cell r="B42" t="str">
            <v>RR038</v>
          </cell>
        </row>
        <row r="43">
          <cell r="B43" t="str">
            <v>RR039</v>
          </cell>
        </row>
        <row r="44">
          <cell r="B44" t="str">
            <v>RR040</v>
          </cell>
        </row>
        <row r="45">
          <cell r="B45" t="str">
            <v>RR041</v>
          </cell>
        </row>
        <row r="46">
          <cell r="B46" t="str">
            <v>RR042</v>
          </cell>
        </row>
        <row r="47">
          <cell r="B47" t="str">
            <v>RR043</v>
          </cell>
        </row>
        <row r="48">
          <cell r="B48" t="str">
            <v>RR044</v>
          </cell>
        </row>
        <row r="49">
          <cell r="B49" t="str">
            <v>RR045</v>
          </cell>
        </row>
        <row r="50">
          <cell r="B50" t="str">
            <v>RR046</v>
          </cell>
        </row>
        <row r="51">
          <cell r="B51" t="str">
            <v>RR047</v>
          </cell>
        </row>
        <row r="52">
          <cell r="B52" t="str">
            <v>RR048</v>
          </cell>
        </row>
        <row r="53">
          <cell r="B53" t="str">
            <v>RR049</v>
          </cell>
        </row>
        <row r="54">
          <cell r="B54" t="str">
            <v>RR050</v>
          </cell>
        </row>
        <row r="55">
          <cell r="B55" t="str">
            <v>RR051</v>
          </cell>
        </row>
        <row r="56">
          <cell r="B56" t="str">
            <v>RR052</v>
          </cell>
        </row>
        <row r="57">
          <cell r="B57" t="str">
            <v>RR053</v>
          </cell>
        </row>
        <row r="58">
          <cell r="B58" t="str">
            <v>RR054</v>
          </cell>
        </row>
        <row r="59">
          <cell r="B59" t="str">
            <v>RR055</v>
          </cell>
        </row>
        <row r="60">
          <cell r="B60" t="str">
            <v>RR056</v>
          </cell>
        </row>
        <row r="61">
          <cell r="B61" t="str">
            <v>RR057</v>
          </cell>
        </row>
        <row r="62">
          <cell r="B62" t="str">
            <v>RR058</v>
          </cell>
        </row>
        <row r="63">
          <cell r="B63" t="str">
            <v>RR059</v>
          </cell>
        </row>
        <row r="64">
          <cell r="B64" t="str">
            <v>RR060</v>
          </cell>
        </row>
        <row r="65">
          <cell r="B65" t="str">
            <v>RR061</v>
          </cell>
        </row>
        <row r="66">
          <cell r="B66" t="str">
            <v>RR062</v>
          </cell>
        </row>
        <row r="67">
          <cell r="B67" t="str">
            <v>RR063</v>
          </cell>
        </row>
        <row r="68">
          <cell r="B68" t="str">
            <v>RR064</v>
          </cell>
        </row>
        <row r="69">
          <cell r="B69" t="str">
            <v>RR065</v>
          </cell>
        </row>
        <row r="70">
          <cell r="B70" t="str">
            <v>RR066</v>
          </cell>
        </row>
        <row r="71">
          <cell r="B71" t="str">
            <v>RR067</v>
          </cell>
        </row>
        <row r="72">
          <cell r="B72" t="str">
            <v>RR068</v>
          </cell>
        </row>
        <row r="73">
          <cell r="B73" t="str">
            <v>RR069</v>
          </cell>
        </row>
        <row r="74">
          <cell r="B74" t="str">
            <v>RR070</v>
          </cell>
        </row>
        <row r="75">
          <cell r="B75" t="str">
            <v>RR071</v>
          </cell>
        </row>
      </sheetData>
      <sheetData sheetId="6">
        <row r="6">
          <cell r="L6" t="e">
            <v>#NAME?</v>
          </cell>
          <cell r="P6" t="str">
            <v>On</v>
          </cell>
        </row>
        <row r="7">
          <cell r="L7" t="e">
            <v>#NAME?</v>
          </cell>
          <cell r="P7" t="str">
            <v>Off</v>
          </cell>
        </row>
        <row r="8">
          <cell r="L8">
            <v>1181.088</v>
          </cell>
        </row>
        <row r="10">
          <cell r="L10">
            <v>10</v>
          </cell>
        </row>
        <row r="11">
          <cell r="L11">
            <v>10</v>
          </cell>
        </row>
        <row r="12">
          <cell r="L12">
            <v>6</v>
          </cell>
        </row>
        <row r="13">
          <cell r="L13">
            <v>0</v>
          </cell>
        </row>
        <row r="14">
          <cell r="L14">
            <v>8</v>
          </cell>
        </row>
        <row r="15">
          <cell r="L15">
            <v>8</v>
          </cell>
        </row>
        <row r="17">
          <cell r="L17">
            <v>22316.942307692305</v>
          </cell>
        </row>
        <row r="20">
          <cell r="L20">
            <v>8</v>
          </cell>
        </row>
        <row r="24">
          <cell r="D24">
            <v>25</v>
          </cell>
        </row>
        <row r="25">
          <cell r="D25">
            <v>760</v>
          </cell>
        </row>
        <row r="26">
          <cell r="D26">
            <v>62.363669999999999</v>
          </cell>
        </row>
        <row r="27">
          <cell r="D27">
            <v>131.38999999999999</v>
          </cell>
        </row>
        <row r="28">
          <cell r="D28">
            <v>1000</v>
          </cell>
        </row>
        <row r="30">
          <cell r="D30">
            <v>3.2808000000000002</v>
          </cell>
        </row>
        <row r="31">
          <cell r="D31">
            <v>3.2807999999999997E-2</v>
          </cell>
        </row>
        <row r="32">
          <cell r="D32">
            <v>3600</v>
          </cell>
        </row>
        <row r="33">
          <cell r="D33">
            <v>60</v>
          </cell>
        </row>
        <row r="34">
          <cell r="D34">
            <v>2080</v>
          </cell>
        </row>
      </sheetData>
      <sheetData sheetId="7">
        <row r="5">
          <cell r="E5" t="e">
            <v>#NAME?</v>
          </cell>
        </row>
        <row r="6">
          <cell r="E6" t="e">
            <v>#NAME?</v>
          </cell>
        </row>
        <row r="7">
          <cell r="E7" t="e">
            <v>#NAME?</v>
          </cell>
        </row>
        <row r="8">
          <cell r="E8" t="e">
            <v>#NAME?</v>
          </cell>
        </row>
        <row r="9">
          <cell r="E9">
            <v>31.587801810669283</v>
          </cell>
        </row>
        <row r="10">
          <cell r="E10">
            <v>5685.8043259204705</v>
          </cell>
        </row>
        <row r="11">
          <cell r="E11" t="e">
            <v>#NAME?</v>
          </cell>
        </row>
        <row r="12">
          <cell r="E12">
            <v>16.990727769412025</v>
          </cell>
        </row>
        <row r="13">
          <cell r="E13" t="e">
            <v>#NAME?</v>
          </cell>
        </row>
        <row r="14">
          <cell r="E14" t="e">
            <v>#NAME?</v>
          </cell>
        </row>
        <row r="15">
          <cell r="E15" t="e">
            <v>#NAME?</v>
          </cell>
        </row>
        <row r="16">
          <cell r="E16" t="e">
            <v>#NAME?</v>
          </cell>
        </row>
        <row r="17">
          <cell r="E17" t="e">
            <v>#NAME?</v>
          </cell>
        </row>
        <row r="18">
          <cell r="E18" t="e">
            <v>#NAME?</v>
          </cell>
        </row>
        <row r="19">
          <cell r="E19" t="e">
            <v>#NAME?</v>
          </cell>
        </row>
        <row r="20">
          <cell r="E20" t="e">
            <v>#NAME?</v>
          </cell>
        </row>
      </sheetData>
      <sheetData sheetId="8">
        <row r="7">
          <cell r="C7">
            <v>50.842700760700097</v>
          </cell>
          <cell r="D7">
            <v>50.134253530609477</v>
          </cell>
          <cell r="E7">
            <v>16.947566920233367</v>
          </cell>
          <cell r="F7">
            <v>16.711417843536491</v>
          </cell>
          <cell r="G7">
            <v>12.072239450029247</v>
          </cell>
          <cell r="H7">
            <v>11.90402366936846</v>
          </cell>
          <cell r="I7">
            <v>6.8984225428738553</v>
          </cell>
          <cell r="J7">
            <v>6.8022992396391206</v>
          </cell>
        </row>
        <row r="8">
          <cell r="C8">
            <v>4.9699722957614298</v>
          </cell>
          <cell r="D8">
            <v>4.2410048394698148</v>
          </cell>
          <cell r="E8">
            <v>1.6566574319204765</v>
          </cell>
          <cell r="F8">
            <v>1.4136682798232716</v>
          </cell>
          <cell r="G8">
            <v>1.1800847460255448</v>
          </cell>
          <cell r="H8">
            <v>1.00699658288781</v>
          </cell>
          <cell r="I8">
            <v>0.6743341405860257</v>
          </cell>
          <cell r="J8">
            <v>0.57542661879303425</v>
          </cell>
        </row>
        <row r="9">
          <cell r="C9">
            <v>2.911146509849436</v>
          </cell>
          <cell r="D9">
            <v>2.1814213086062848</v>
          </cell>
          <cell r="E9">
            <v>0.97038216994981197</v>
          </cell>
          <cell r="F9">
            <v>0.7271404362020949</v>
          </cell>
          <cell r="G9">
            <v>0.69123113475877018</v>
          </cell>
          <cell r="H9">
            <v>0.51796305044532787</v>
          </cell>
          <cell r="I9">
            <v>0.39498921986215441</v>
          </cell>
          <cell r="J9">
            <v>0.29597888596875876</v>
          </cell>
        </row>
        <row r="10">
          <cell r="C10">
            <v>1.2431482916966019</v>
          </cell>
          <cell r="D10">
            <v>0.51275849148177788</v>
          </cell>
          <cell r="E10">
            <v>0.4143827638988673</v>
          </cell>
          <cell r="F10">
            <v>0.17091949716059263</v>
          </cell>
          <cell r="G10">
            <v>0.29517676332522053</v>
          </cell>
          <cell r="H10">
            <v>0.12175087468973721</v>
          </cell>
          <cell r="I10">
            <v>0.1686724361858403</v>
          </cell>
          <cell r="J10">
            <v>6.9571928394135549E-2</v>
          </cell>
        </row>
        <row r="11">
          <cell r="C11">
            <v>0.89297164830430731</v>
          </cell>
          <cell r="D11">
            <v>0.16244758326174324</v>
          </cell>
          <cell r="E11">
            <v>0.29765721610143575</v>
          </cell>
          <cell r="F11">
            <v>5.4149194420581082E-2</v>
          </cell>
          <cell r="G11">
            <v>0.21202979777088576</v>
          </cell>
          <cell r="H11">
            <v>3.8572028902331731E-2</v>
          </cell>
          <cell r="I11">
            <v>0.12115988444050614</v>
          </cell>
          <cell r="J11">
            <v>2.204115937276099E-2</v>
          </cell>
        </row>
        <row r="12">
          <cell r="C12">
            <v>0.80294997773029952</v>
          </cell>
          <cell r="D12">
            <v>7.2391621036005063E-2</v>
          </cell>
          <cell r="E12">
            <v>0.26764999257676653</v>
          </cell>
          <cell r="F12">
            <v>2.413054034533502E-2</v>
          </cell>
          <cell r="G12">
            <v>0.19065478923276519</v>
          </cell>
          <cell r="H12">
            <v>1.7188878054211248E-2</v>
          </cell>
          <cell r="I12">
            <v>0.10894559384729439</v>
          </cell>
          <cell r="J12">
            <v>9.8222160309778556E-3</v>
          </cell>
        </row>
        <row r="13">
          <cell r="C13">
            <v>1.498953519678863</v>
          </cell>
          <cell r="D13">
            <v>0.76866470693218381</v>
          </cell>
          <cell r="E13">
            <v>0.49965117322628766</v>
          </cell>
          <cell r="F13">
            <v>0.25622156897739462</v>
          </cell>
          <cell r="G13">
            <v>0.35591590421598573</v>
          </cell>
          <cell r="H13">
            <v>0.18251399434006191</v>
          </cell>
          <cell r="I13">
            <v>0.203380516694849</v>
          </cell>
          <cell r="J13">
            <v>0.10429371105146394</v>
          </cell>
        </row>
        <row r="17">
          <cell r="D17">
            <v>8</v>
          </cell>
        </row>
        <row r="18">
          <cell r="D18">
            <v>24</v>
          </cell>
        </row>
        <row r="19">
          <cell r="D19">
            <v>8</v>
          </cell>
        </row>
        <row r="20">
          <cell r="D20">
            <v>260</v>
          </cell>
        </row>
        <row r="21">
          <cell r="D21">
            <v>40</v>
          </cell>
        </row>
        <row r="22">
          <cell r="D22">
            <v>40</v>
          </cell>
        </row>
        <row r="23">
          <cell r="D23">
            <v>70</v>
          </cell>
        </row>
        <row r="24">
          <cell r="D24">
            <v>350400</v>
          </cell>
        </row>
        <row r="25">
          <cell r="D25">
            <v>613200</v>
          </cell>
        </row>
      </sheetData>
      <sheetData sheetId="9">
        <row r="6">
          <cell r="E6">
            <v>5</v>
          </cell>
        </row>
      </sheetData>
      <sheetData sheetId="10"/>
      <sheetData sheetId="11">
        <row r="6">
          <cell r="N6" t="str">
            <v>HEC99</v>
          </cell>
          <cell r="O6" t="str">
            <v>Maximum</v>
          </cell>
          <cell r="P6">
            <v>9.9999999999999995E-7</v>
          </cell>
        </row>
        <row r="7">
          <cell r="N7" t="str">
            <v>HEC95</v>
          </cell>
          <cell r="O7" t="str">
            <v>99th Percentile</v>
          </cell>
          <cell r="P7">
            <v>1.0000000000000001E-5</v>
          </cell>
        </row>
        <row r="8">
          <cell r="N8" t="str">
            <v>HEC50</v>
          </cell>
          <cell r="O8" t="str">
            <v>95th Percentile</v>
          </cell>
          <cell r="P8">
            <v>1E-4</v>
          </cell>
        </row>
        <row r="9">
          <cell r="O9" t="str">
            <v>50th Percentile</v>
          </cell>
        </row>
        <row r="10">
          <cell r="O10" t="str">
            <v>5th Percentile</v>
          </cell>
        </row>
        <row r="11">
          <cell r="O11" t="str">
            <v>Minimum</v>
          </cell>
        </row>
        <row r="12">
          <cell r="O12" t="str">
            <v>Mean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Instructions"/>
      <sheetName val="Illustration"/>
      <sheetName val="Dashboard"/>
      <sheetName val="Heat Map"/>
      <sheetName val="RR Options Map"/>
      <sheetName val="Exposure Parameters"/>
      <sheetName val="Exposure Calcs"/>
      <sheetName val="Baseline Exposure Results"/>
      <sheetName val="Worker Risk Reduction Exposure"/>
      <sheetName val="Bystander Risk Reduction Exp"/>
      <sheetName val="Look-up Valu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">
          <cell r="B5" t="str">
            <v>RR001</v>
          </cell>
        </row>
        <row r="6">
          <cell r="B6" t="str">
            <v>RR002</v>
          </cell>
        </row>
        <row r="7">
          <cell r="B7" t="str">
            <v>RR003</v>
          </cell>
        </row>
        <row r="8">
          <cell r="B8" t="str">
            <v>RR004</v>
          </cell>
        </row>
        <row r="9">
          <cell r="B9" t="str">
            <v>RR005</v>
          </cell>
        </row>
        <row r="10">
          <cell r="B10" t="str">
            <v>RR006</v>
          </cell>
        </row>
        <row r="11">
          <cell r="B11" t="str">
            <v>RR007</v>
          </cell>
        </row>
        <row r="12">
          <cell r="B12" t="str">
            <v>RR008</v>
          </cell>
        </row>
        <row r="13">
          <cell r="B13" t="str">
            <v>RR009</v>
          </cell>
        </row>
        <row r="14">
          <cell r="B14" t="str">
            <v>RR010</v>
          </cell>
        </row>
        <row r="15">
          <cell r="B15" t="str">
            <v>RR011</v>
          </cell>
        </row>
        <row r="16">
          <cell r="B16" t="str">
            <v>RR012</v>
          </cell>
        </row>
        <row r="17">
          <cell r="B17" t="str">
            <v>RR013</v>
          </cell>
        </row>
        <row r="18">
          <cell r="B18" t="str">
            <v>RR014</v>
          </cell>
        </row>
        <row r="19">
          <cell r="B19" t="str">
            <v>RR015</v>
          </cell>
        </row>
        <row r="20">
          <cell r="B20" t="str">
            <v>RR016</v>
          </cell>
        </row>
        <row r="21">
          <cell r="B21" t="str">
            <v>RR017</v>
          </cell>
        </row>
        <row r="22">
          <cell r="B22" t="str">
            <v>RR018</v>
          </cell>
        </row>
        <row r="23">
          <cell r="B23" t="str">
            <v>RR019</v>
          </cell>
        </row>
        <row r="24">
          <cell r="B24" t="str">
            <v>RR020</v>
          </cell>
        </row>
        <row r="25">
          <cell r="B25" t="str">
            <v>RR021</v>
          </cell>
        </row>
        <row r="26">
          <cell r="B26" t="str">
            <v>RR022</v>
          </cell>
        </row>
        <row r="27">
          <cell r="B27" t="str">
            <v>RR023</v>
          </cell>
        </row>
        <row r="28">
          <cell r="B28" t="str">
            <v>RR024</v>
          </cell>
        </row>
        <row r="29">
          <cell r="B29" t="str">
            <v>RR025</v>
          </cell>
        </row>
        <row r="30">
          <cell r="B30" t="str">
            <v>RR026</v>
          </cell>
        </row>
        <row r="31">
          <cell r="B31" t="str">
            <v>RR027</v>
          </cell>
        </row>
        <row r="32">
          <cell r="B32" t="str">
            <v>RR028</v>
          </cell>
        </row>
        <row r="33">
          <cell r="B33" t="str">
            <v>RR029</v>
          </cell>
        </row>
        <row r="34">
          <cell r="B34" t="str">
            <v>RR030</v>
          </cell>
        </row>
        <row r="35">
          <cell r="B35" t="str">
            <v>RR031</v>
          </cell>
        </row>
        <row r="36">
          <cell r="B36" t="str">
            <v>RR032</v>
          </cell>
        </row>
        <row r="37">
          <cell r="B37" t="str">
            <v>RR033</v>
          </cell>
        </row>
        <row r="38">
          <cell r="B38" t="str">
            <v>RR034</v>
          </cell>
        </row>
        <row r="39">
          <cell r="B39" t="str">
            <v>RR035</v>
          </cell>
        </row>
        <row r="40">
          <cell r="B40" t="str">
            <v>RR036</v>
          </cell>
        </row>
        <row r="41">
          <cell r="B41" t="str">
            <v>RR037</v>
          </cell>
        </row>
        <row r="42">
          <cell r="B42" t="str">
            <v>RR038</v>
          </cell>
        </row>
        <row r="43">
          <cell r="B43" t="str">
            <v>RR039</v>
          </cell>
        </row>
        <row r="44">
          <cell r="B44" t="str">
            <v>RR040</v>
          </cell>
        </row>
        <row r="45">
          <cell r="B45" t="str">
            <v>RR041</v>
          </cell>
        </row>
        <row r="46">
          <cell r="B46" t="str">
            <v>RR042</v>
          </cell>
        </row>
        <row r="47">
          <cell r="B47" t="str">
            <v>RR043</v>
          </cell>
        </row>
        <row r="48">
          <cell r="B48" t="str">
            <v>RR044</v>
          </cell>
        </row>
        <row r="49">
          <cell r="B49" t="str">
            <v>RR045</v>
          </cell>
        </row>
        <row r="50">
          <cell r="B50" t="str">
            <v>RR046</v>
          </cell>
        </row>
        <row r="51">
          <cell r="B51" t="str">
            <v>RR047</v>
          </cell>
        </row>
        <row r="52">
          <cell r="B52" t="str">
            <v>RR048</v>
          </cell>
        </row>
        <row r="53">
          <cell r="B53" t="str">
            <v>RR049</v>
          </cell>
        </row>
        <row r="54">
          <cell r="B54" t="str">
            <v>RR050</v>
          </cell>
        </row>
        <row r="55">
          <cell r="B55" t="str">
            <v>RR051</v>
          </cell>
        </row>
        <row r="56">
          <cell r="B56" t="str">
            <v>RR052</v>
          </cell>
        </row>
        <row r="57">
          <cell r="B57" t="str">
            <v>RR053</v>
          </cell>
        </row>
        <row r="58">
          <cell r="B58" t="str">
            <v>RR054</v>
          </cell>
        </row>
        <row r="59">
          <cell r="B59" t="str">
            <v>RR055</v>
          </cell>
        </row>
        <row r="60">
          <cell r="B60" t="str">
            <v>RR056</v>
          </cell>
        </row>
        <row r="61">
          <cell r="B61" t="str">
            <v>RR057</v>
          </cell>
        </row>
        <row r="62">
          <cell r="B62" t="str">
            <v>RR058</v>
          </cell>
        </row>
        <row r="63">
          <cell r="B63" t="str">
            <v>RR059</v>
          </cell>
        </row>
        <row r="64">
          <cell r="B64" t="str">
            <v>RR060</v>
          </cell>
        </row>
        <row r="65">
          <cell r="B65" t="str">
            <v>RR061</v>
          </cell>
        </row>
        <row r="66">
          <cell r="B66" t="str">
            <v>RR062</v>
          </cell>
        </row>
        <row r="67">
          <cell r="B67" t="str">
            <v>RR063</v>
          </cell>
        </row>
        <row r="68">
          <cell r="B68" t="str">
            <v>RR064</v>
          </cell>
        </row>
        <row r="69">
          <cell r="B69" t="str">
            <v>RR065</v>
          </cell>
        </row>
        <row r="70">
          <cell r="B70" t="str">
            <v>RR066</v>
          </cell>
        </row>
        <row r="71">
          <cell r="B71" t="str">
            <v>RR067</v>
          </cell>
        </row>
        <row r="72">
          <cell r="B72" t="str">
            <v>RR068</v>
          </cell>
        </row>
        <row r="73">
          <cell r="B73" t="str">
            <v>RR069</v>
          </cell>
        </row>
        <row r="74">
          <cell r="B74" t="str">
            <v>RR070</v>
          </cell>
        </row>
        <row r="75">
          <cell r="B75" t="str">
            <v>RR071</v>
          </cell>
        </row>
      </sheetData>
      <sheetData sheetId="6">
        <row r="6">
          <cell r="L6" t="e">
            <v>#NAME?</v>
          </cell>
          <cell r="P6" t="str">
            <v>On</v>
          </cell>
        </row>
        <row r="7">
          <cell r="L7" t="e">
            <v>#NAME?</v>
          </cell>
          <cell r="P7" t="str">
            <v>Off</v>
          </cell>
        </row>
        <row r="8">
          <cell r="L8">
            <v>1181.088</v>
          </cell>
        </row>
        <row r="10">
          <cell r="L10">
            <v>10</v>
          </cell>
        </row>
        <row r="11">
          <cell r="L11">
            <v>10</v>
          </cell>
        </row>
        <row r="12">
          <cell r="L12">
            <v>6</v>
          </cell>
        </row>
        <row r="13">
          <cell r="L13">
            <v>0</v>
          </cell>
        </row>
        <row r="14">
          <cell r="L14">
            <v>1</v>
          </cell>
        </row>
        <row r="15">
          <cell r="L15">
            <v>8</v>
          </cell>
        </row>
        <row r="16">
          <cell r="L16">
            <v>27.5</v>
          </cell>
        </row>
        <row r="21">
          <cell r="D21">
            <v>25</v>
          </cell>
        </row>
        <row r="22">
          <cell r="D22">
            <v>760</v>
          </cell>
        </row>
        <row r="23">
          <cell r="D23">
            <v>62.363669999999999</v>
          </cell>
        </row>
        <row r="24">
          <cell r="D24">
            <v>131.38999999999999</v>
          </cell>
        </row>
        <row r="25">
          <cell r="D25">
            <v>1000</v>
          </cell>
        </row>
        <row r="27">
          <cell r="D27">
            <v>3.2808000000000002</v>
          </cell>
        </row>
        <row r="28">
          <cell r="D28">
            <v>3.2807999999999997E-2</v>
          </cell>
        </row>
        <row r="29">
          <cell r="D29">
            <v>3600</v>
          </cell>
        </row>
      </sheetData>
      <sheetData sheetId="7">
        <row r="9">
          <cell r="E9">
            <v>31.587801810669283</v>
          </cell>
        </row>
        <row r="10">
          <cell r="E10">
            <v>5685.8043259204705</v>
          </cell>
        </row>
        <row r="11">
          <cell r="E11" t="e">
            <v>#NAME?</v>
          </cell>
        </row>
        <row r="12">
          <cell r="E12">
            <v>16.990727769412025</v>
          </cell>
        </row>
        <row r="13">
          <cell r="E13" t="e">
            <v>#NAME?</v>
          </cell>
        </row>
        <row r="14">
          <cell r="E14" t="e">
            <v>#NAME?</v>
          </cell>
        </row>
        <row r="15">
          <cell r="E15" t="e">
            <v>#NAME?</v>
          </cell>
          <cell r="M15" t="e">
            <v>#NAME?</v>
          </cell>
          <cell r="N15" t="e">
            <v>#NAME?</v>
          </cell>
        </row>
        <row r="16">
          <cell r="M16" t="e">
            <v>#NAME?</v>
          </cell>
          <cell r="N16" t="e">
            <v>#NAME?</v>
          </cell>
        </row>
        <row r="20">
          <cell r="E20">
            <v>1618.5298459968001</v>
          </cell>
        </row>
      </sheetData>
      <sheetData sheetId="8">
        <row r="7">
          <cell r="C7">
            <v>14.363771073437201</v>
          </cell>
          <cell r="D7">
            <v>13.579591177727256</v>
          </cell>
          <cell r="E7">
            <v>4.7879236911457337</v>
          </cell>
          <cell r="F7">
            <v>4.5265303925757516</v>
          </cell>
          <cell r="G7">
            <v>3.4105757799942213</v>
          </cell>
          <cell r="H7">
            <v>3.2243778138895767</v>
          </cell>
          <cell r="I7">
            <v>1.9489004457109835</v>
          </cell>
          <cell r="J7">
            <v>1.842501607936901</v>
          </cell>
        </row>
        <row r="8">
          <cell r="C8">
            <v>5.8565668567764808</v>
          </cell>
          <cell r="D8">
            <v>5.069162932196047</v>
          </cell>
          <cell r="E8">
            <v>1.9521889522588269</v>
          </cell>
          <cell r="F8">
            <v>1.6897209773986823</v>
          </cell>
          <cell r="G8">
            <v>1.3906003495542327</v>
          </cell>
          <cell r="H8">
            <v>1.2036368606127601</v>
          </cell>
          <cell r="I8">
            <v>0.79462877117384734</v>
          </cell>
          <cell r="J8">
            <v>0.68779249177872004</v>
          </cell>
        </row>
        <row r="9">
          <cell r="C9">
            <v>3.9897445092986481</v>
          </cell>
          <cell r="D9">
            <v>3.2019801514383484</v>
          </cell>
          <cell r="E9">
            <v>1.3299148364328828</v>
          </cell>
          <cell r="F9">
            <v>1.067326717146116</v>
          </cell>
          <cell r="G9">
            <v>0.94733659581520424</v>
          </cell>
          <cell r="H9">
            <v>0.76028752454243886</v>
          </cell>
          <cell r="I9">
            <v>0.54133519760868809</v>
          </cell>
          <cell r="J9">
            <v>0.43445001402425082</v>
          </cell>
        </row>
        <row r="10">
          <cell r="C10">
            <v>1.7398183491940211</v>
          </cell>
          <cell r="D10">
            <v>0.95179826181238358</v>
          </cell>
          <cell r="E10">
            <v>0.57993944973134037</v>
          </cell>
          <cell r="F10">
            <v>0.31726608727079453</v>
          </cell>
          <cell r="G10">
            <v>0.41310755323328358</v>
          </cell>
          <cell r="H10">
            <v>0.22599776079563447</v>
          </cell>
          <cell r="I10">
            <v>0.23606145899044778</v>
          </cell>
          <cell r="J10">
            <v>0.12914157759750541</v>
          </cell>
        </row>
        <row r="11">
          <cell r="C11">
            <v>1.1437618369661728</v>
          </cell>
          <cell r="D11">
            <v>0.35573789913474474</v>
          </cell>
          <cell r="E11">
            <v>0.38125394565539095</v>
          </cell>
          <cell r="F11">
            <v>0.11857929971158158</v>
          </cell>
          <cell r="G11">
            <v>0.27157815306959354</v>
          </cell>
          <cell r="H11">
            <v>8.4467446369893728E-2</v>
          </cell>
          <cell r="I11">
            <v>0.15518751603976774</v>
          </cell>
          <cell r="J11">
            <v>4.8267112211367848E-2</v>
          </cell>
        </row>
        <row r="12">
          <cell r="C12">
            <v>0.99996049445175017</v>
          </cell>
          <cell r="D12">
            <v>0.21193655562601127</v>
          </cell>
          <cell r="E12">
            <v>0.33332016481725008</v>
          </cell>
          <cell r="F12">
            <v>7.0645518542003752E-2</v>
          </cell>
          <cell r="G12">
            <v>0.2374335420616028</v>
          </cell>
          <cell r="H12">
            <v>5.0322835125810893E-2</v>
          </cell>
          <cell r="I12">
            <v>0.1356763097494873</v>
          </cell>
          <cell r="J12">
            <v>2.8755905786177656E-2</v>
          </cell>
        </row>
        <row r="13">
          <cell r="C13">
            <v>2.0442350269316503</v>
          </cell>
          <cell r="D13">
            <v>1.2562650568733957</v>
          </cell>
          <cell r="E13">
            <v>0.68141167564388339</v>
          </cell>
          <cell r="F13">
            <v>0.4187550189577986</v>
          </cell>
          <cell r="G13">
            <v>0.4853891388148211</v>
          </cell>
          <cell r="H13">
            <v>0.2982912463808976</v>
          </cell>
          <cell r="I13">
            <v>0.27736522217989779</v>
          </cell>
          <cell r="J13">
            <v>0.17045214078908436</v>
          </cell>
        </row>
        <row r="17">
          <cell r="D17">
            <v>8</v>
          </cell>
        </row>
        <row r="18">
          <cell r="D18">
            <v>24</v>
          </cell>
        </row>
        <row r="19">
          <cell r="D19">
            <v>8</v>
          </cell>
        </row>
        <row r="20">
          <cell r="D20">
            <v>260</v>
          </cell>
        </row>
        <row r="21">
          <cell r="D21">
            <v>40</v>
          </cell>
        </row>
        <row r="22">
          <cell r="D22">
            <v>40</v>
          </cell>
        </row>
        <row r="23">
          <cell r="D23">
            <v>70</v>
          </cell>
        </row>
        <row r="24">
          <cell r="D24">
            <v>350400</v>
          </cell>
        </row>
        <row r="25">
          <cell r="D25">
            <v>613200</v>
          </cell>
        </row>
      </sheetData>
      <sheetData sheetId="9">
        <row r="6">
          <cell r="E6">
            <v>5</v>
          </cell>
        </row>
      </sheetData>
      <sheetData sheetId="10" refreshError="1"/>
      <sheetData sheetId="11">
        <row r="6">
          <cell r="N6" t="str">
            <v>HEC99</v>
          </cell>
          <cell r="O6" t="str">
            <v>Maximum</v>
          </cell>
          <cell r="P6">
            <v>9.9999999999999995E-7</v>
          </cell>
        </row>
        <row r="7">
          <cell r="N7" t="str">
            <v>HEC95</v>
          </cell>
          <cell r="O7" t="str">
            <v>99th Percentile</v>
          </cell>
          <cell r="P7">
            <v>1.0000000000000001E-5</v>
          </cell>
        </row>
        <row r="8">
          <cell r="N8" t="str">
            <v>HEC50</v>
          </cell>
          <cell r="O8" t="str">
            <v>95th Percentile</v>
          </cell>
          <cell r="P8">
            <v>1E-4</v>
          </cell>
        </row>
        <row r="9">
          <cell r="O9" t="str">
            <v>50th Percentile</v>
          </cell>
        </row>
        <row r="10">
          <cell r="O10" t="str">
            <v>5th Percentile</v>
          </cell>
        </row>
        <row r="11">
          <cell r="O11" t="str">
            <v>Minimum</v>
          </cell>
        </row>
        <row r="12">
          <cell r="O12" t="str">
            <v>Mean</v>
          </cell>
        </row>
      </sheetData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hyperlink" Target="https://www.epa.gov/sites/production/files/2016-02/documents/u_s_epa_fact_sheet_implementation_study_1.pdf" TargetMode="External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5.bin"/><Relationship Id="rId1" Type="http://schemas.openxmlformats.org/officeDocument/2006/relationships/hyperlink" Target="https://www.census.gov/const/C25Ann/sftotalmedavgsqft.pdf" TargetMode="Externa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490980-CAAF-4F19-B72E-A5E69AF3411C}">
  <dimension ref="B2:B7"/>
  <sheetViews>
    <sheetView tabSelected="1" workbookViewId="0">
      <selection activeCell="B4" sqref="B4"/>
    </sheetView>
  </sheetViews>
  <sheetFormatPr defaultRowHeight="15" x14ac:dyDescent="0.25"/>
  <cols>
    <col min="1" max="1" width="9.140625" style="120"/>
    <col min="2" max="2" width="58.42578125" style="120" customWidth="1"/>
    <col min="3" max="16384" width="9.140625" style="120"/>
  </cols>
  <sheetData>
    <row r="2" spans="2:2" ht="20.25" x14ac:dyDescent="0.3">
      <c r="B2" s="119" t="s">
        <v>0</v>
      </c>
    </row>
    <row r="4" spans="2:2" ht="48" customHeight="1" x14ac:dyDescent="0.25">
      <c r="B4" s="121" t="s">
        <v>1</v>
      </c>
    </row>
    <row r="5" spans="2:2" x14ac:dyDescent="0.25">
      <c r="B5" s="122"/>
    </row>
    <row r="7" spans="2:2" x14ac:dyDescent="0.25">
      <c r="B7" s="123" t="s">
        <v>2</v>
      </c>
    </row>
  </sheetData>
  <sheetProtection algorithmName="SHA-512" hashValue="EcIHfelCMeRiG2lxG1MonUAUqZLirtY8/MfEWYR4bc79c3bUi2Nspx5ltlVSdzTqTBLqn4I/RzQ0P89yUbLYTg==" saltValue="srKjxNLn1n7J5dlAnF2pjg==" spinCount="100000" sheet="1" objects="1" scenarios="1"/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EFCF55-F3F7-4E7B-A88D-8D2243FC3B1E}">
  <dimension ref="A1:R30"/>
  <sheetViews>
    <sheetView workbookViewId="0">
      <selection activeCell="A3" sqref="A3"/>
    </sheetView>
  </sheetViews>
  <sheetFormatPr defaultRowHeight="12.75" x14ac:dyDescent="0.2"/>
  <cols>
    <col min="1" max="1" width="19.7109375" style="446" customWidth="1"/>
    <col min="2" max="2" width="22.140625" style="447" customWidth="1"/>
    <col min="3" max="7" width="19.5703125" style="447" customWidth="1"/>
    <col min="8" max="8" width="23.140625" style="447" customWidth="1"/>
    <col min="9" max="9" width="36.7109375" style="447" customWidth="1"/>
    <col min="10" max="10" width="32" style="447" customWidth="1"/>
    <col min="11" max="11" width="44.7109375" style="447" customWidth="1"/>
    <col min="12" max="12" width="43.28515625" style="447" customWidth="1"/>
    <col min="13" max="13" width="32.42578125" style="447" customWidth="1"/>
    <col min="14" max="14" width="50.85546875" style="447" customWidth="1"/>
    <col min="15" max="15" width="40.85546875" style="447" customWidth="1"/>
    <col min="16" max="16" width="34.5703125" style="447" customWidth="1"/>
    <col min="17" max="18" width="38.7109375" style="447" customWidth="1"/>
    <col min="19" max="19" width="15.140625" style="446" customWidth="1"/>
    <col min="20" max="16384" width="9.140625" style="446"/>
  </cols>
  <sheetData>
    <row r="1" spans="1:15" x14ac:dyDescent="0.2">
      <c r="A1" s="446" t="s">
        <v>256</v>
      </c>
    </row>
    <row r="2" spans="1:15" x14ac:dyDescent="0.2">
      <c r="A2" s="446" t="s">
        <v>251</v>
      </c>
      <c r="B2" s="542">
        <v>25000</v>
      </c>
      <c r="C2" s="447" t="s">
        <v>45</v>
      </c>
    </row>
    <row r="3" spans="1:15" x14ac:dyDescent="0.2">
      <c r="B3" s="446"/>
      <c r="C3" s="446"/>
    </row>
    <row r="4" spans="1:15" x14ac:dyDescent="0.2">
      <c r="A4" s="449" t="s">
        <v>119</v>
      </c>
      <c r="C4" s="450"/>
      <c r="D4" s="450"/>
      <c r="E4" s="450"/>
      <c r="F4" s="450"/>
      <c r="G4" s="450"/>
      <c r="H4" s="450"/>
      <c r="I4" s="450"/>
      <c r="J4" s="450"/>
      <c r="K4" s="450"/>
    </row>
    <row r="5" spans="1:15" ht="15.75" customHeight="1" x14ac:dyDescent="0.2">
      <c r="A5" s="451" t="s">
        <v>120</v>
      </c>
      <c r="B5" s="451" t="s">
        <v>121</v>
      </c>
      <c r="C5" s="451" t="s">
        <v>122</v>
      </c>
      <c r="D5" s="451"/>
      <c r="E5" s="451"/>
      <c r="F5" s="451"/>
      <c r="G5" s="451" t="s">
        <v>123</v>
      </c>
      <c r="H5" s="451"/>
      <c r="I5" s="451"/>
      <c r="J5" s="451"/>
      <c r="K5" s="451" t="s">
        <v>124</v>
      </c>
      <c r="L5" s="451" t="s">
        <v>125</v>
      </c>
    </row>
    <row r="6" spans="1:15" ht="38.25" customHeight="1" x14ac:dyDescent="0.2">
      <c r="A6" s="451"/>
      <c r="B6" s="451"/>
      <c r="C6" s="451" t="s">
        <v>126</v>
      </c>
      <c r="D6" s="451" t="s">
        <v>127</v>
      </c>
      <c r="E6" s="451" t="s">
        <v>128</v>
      </c>
      <c r="F6" s="451"/>
      <c r="G6" s="451" t="s">
        <v>126</v>
      </c>
      <c r="H6" s="451" t="s">
        <v>127</v>
      </c>
      <c r="I6" s="451" t="s">
        <v>128</v>
      </c>
      <c r="J6" s="451"/>
      <c r="K6" s="451"/>
      <c r="L6" s="451"/>
    </row>
    <row r="7" spans="1:15" ht="25.5" x14ac:dyDescent="0.2">
      <c r="A7" s="451"/>
      <c r="B7" s="451"/>
      <c r="C7" s="451"/>
      <c r="D7" s="451"/>
      <c r="E7" s="452" t="s">
        <v>257</v>
      </c>
      <c r="F7" s="452" t="s">
        <v>258</v>
      </c>
      <c r="G7" s="451"/>
      <c r="H7" s="451"/>
      <c r="I7" s="452" t="s">
        <v>257</v>
      </c>
      <c r="J7" s="452" t="s">
        <v>258</v>
      </c>
      <c r="K7" s="451"/>
      <c r="L7" s="451"/>
    </row>
    <row r="8" spans="1:15" ht="66" customHeight="1" x14ac:dyDescent="0.2">
      <c r="A8" s="453" t="s">
        <v>131</v>
      </c>
      <c r="B8" s="453" t="s">
        <v>132</v>
      </c>
      <c r="C8" s="454">
        <f>'Release Calculations - 25k lbs'!AN8</f>
        <v>11.33980925</v>
      </c>
      <c r="D8" s="454">
        <f>'Release Calculations - 25k lbs'!AE8</f>
        <v>11.33980925</v>
      </c>
      <c r="E8" s="455">
        <f>'Release Calculations - 25k lbs'!V9</f>
        <v>1.6199727500000001</v>
      </c>
      <c r="F8" s="455">
        <f>'Release Calculations - 25k lbs'!V8</f>
        <v>0.15119745666666667</v>
      </c>
      <c r="G8" s="456">
        <f>'Release Calculations - 25k lbs'!AN10</f>
        <v>56.699046250000002</v>
      </c>
      <c r="H8" s="456">
        <f>'Release Calculations - 25k lbs'!AE10</f>
        <v>56.699046250000002</v>
      </c>
      <c r="I8" s="455">
        <f>'Release Calculations - 25k lbs'!V11</f>
        <v>8.0998637500000008</v>
      </c>
      <c r="J8" s="457">
        <f>'Release Calculations - 25k lbs'!V10</f>
        <v>0.75598728333333332</v>
      </c>
      <c r="K8" s="458">
        <f>'Release Calculations - 25k lbs'!G8</f>
        <v>1</v>
      </c>
      <c r="L8" s="459" t="s">
        <v>133</v>
      </c>
    </row>
    <row r="9" spans="1:15" ht="25.5" x14ac:dyDescent="0.2">
      <c r="A9" s="453" t="s">
        <v>134</v>
      </c>
      <c r="B9" s="459" t="s">
        <v>70</v>
      </c>
      <c r="C9" s="456">
        <f>'Release Calculations - 25k lbs'!AL8</f>
        <v>113.3980925</v>
      </c>
      <c r="D9" s="456">
        <f>'Release Calculations - 25k lbs'!AC8</f>
        <v>113.3980925</v>
      </c>
      <c r="E9" s="455">
        <f>'Release Calculations - 25k lbs'!T9</f>
        <v>16.199727500000002</v>
      </c>
      <c r="F9" s="455">
        <f>'Release Calculations - 25k lbs'!T8</f>
        <v>1.5119745666666666</v>
      </c>
      <c r="G9" s="456">
        <f>'Release Calculations - 25k lbs'!AL10</f>
        <v>113.3980925</v>
      </c>
      <c r="H9" s="456">
        <f>'Release Calculations - 25k lbs'!AC10</f>
        <v>113.3980925</v>
      </c>
      <c r="I9" s="455">
        <f>'Release Calculations - 25k lbs'!T11</f>
        <v>16.199727500000002</v>
      </c>
      <c r="J9" s="461">
        <f>'Release Calculations - 25k lbs'!T10</f>
        <v>1.5119745666666666</v>
      </c>
      <c r="K9" s="462">
        <f>'Release Calculations - 25k lbs'!G8</f>
        <v>1</v>
      </c>
      <c r="L9" s="459" t="s">
        <v>133</v>
      </c>
    </row>
    <row r="10" spans="1:15" x14ac:dyDescent="0.2">
      <c r="A10" s="463" t="s">
        <v>135</v>
      </c>
      <c r="B10" s="463"/>
      <c r="C10" s="463"/>
      <c r="D10" s="463"/>
      <c r="E10" s="463"/>
      <c r="F10" s="463"/>
      <c r="G10" s="463"/>
      <c r="H10" s="463"/>
      <c r="I10" s="463"/>
      <c r="J10" s="463"/>
      <c r="K10" s="463"/>
      <c r="L10" s="463"/>
    </row>
    <row r="11" spans="1:15" x14ac:dyDescent="0.2">
      <c r="B11" s="446"/>
    </row>
    <row r="13" spans="1:15" x14ac:dyDescent="0.2">
      <c r="A13" s="449" t="s">
        <v>144</v>
      </c>
      <c r="C13" s="450"/>
      <c r="D13" s="450"/>
      <c r="E13" s="450"/>
      <c r="F13" s="450"/>
      <c r="G13" s="450"/>
      <c r="H13" s="450"/>
      <c r="I13" s="450"/>
      <c r="J13" s="450"/>
      <c r="K13" s="450"/>
    </row>
    <row r="14" spans="1:15" ht="12.75" customHeight="1" x14ac:dyDescent="0.2">
      <c r="A14" s="451" t="s">
        <v>120</v>
      </c>
      <c r="B14" s="451" t="s">
        <v>121</v>
      </c>
      <c r="C14" s="451" t="s">
        <v>137</v>
      </c>
      <c r="D14" s="451"/>
      <c r="E14" s="451"/>
      <c r="F14" s="451"/>
      <c r="G14" s="451" t="s">
        <v>145</v>
      </c>
      <c r="H14" s="451"/>
      <c r="I14" s="451"/>
      <c r="J14" s="451"/>
      <c r="K14" s="464" t="s">
        <v>124</v>
      </c>
      <c r="L14" s="451" t="s">
        <v>125</v>
      </c>
    </row>
    <row r="15" spans="1:15" x14ac:dyDescent="0.2">
      <c r="A15" s="451"/>
      <c r="B15" s="451"/>
      <c r="C15" s="451" t="s">
        <v>126</v>
      </c>
      <c r="D15" s="451" t="s">
        <v>127</v>
      </c>
      <c r="E15" s="451" t="s">
        <v>128</v>
      </c>
      <c r="F15" s="451"/>
      <c r="G15" s="472" t="s">
        <v>126</v>
      </c>
      <c r="H15" s="472" t="s">
        <v>127</v>
      </c>
      <c r="I15" s="472" t="s">
        <v>128</v>
      </c>
      <c r="J15" s="472"/>
      <c r="K15" s="465"/>
      <c r="L15" s="451"/>
      <c r="O15" s="466"/>
    </row>
    <row r="16" spans="1:15" ht="51" x14ac:dyDescent="0.2">
      <c r="A16" s="451"/>
      <c r="B16" s="451"/>
      <c r="C16" s="451"/>
      <c r="D16" s="451"/>
      <c r="E16" s="452" t="s">
        <v>146</v>
      </c>
      <c r="F16" s="452" t="s">
        <v>147</v>
      </c>
      <c r="G16" s="472"/>
      <c r="H16" s="472"/>
      <c r="I16" s="452" t="s">
        <v>146</v>
      </c>
      <c r="J16" s="452" t="s">
        <v>147</v>
      </c>
      <c r="K16" s="467"/>
      <c r="L16" s="451"/>
      <c r="O16" s="466"/>
    </row>
    <row r="17" spans="1:15" ht="63.75" x14ac:dyDescent="0.2">
      <c r="A17" s="468" t="s">
        <v>141</v>
      </c>
      <c r="B17" s="453" t="s">
        <v>142</v>
      </c>
      <c r="C17" s="455">
        <f>'Release Calculations - 25k lbs'!AH12</f>
        <v>0.65625794560848405</v>
      </c>
      <c r="D17" s="455">
        <f>'Release Calculations - 25k lbs'!Y12</f>
        <v>0.65625794560848405</v>
      </c>
      <c r="E17" s="473">
        <f>'Release Calculations - 25k lbs'!P13</f>
        <v>0.65625794560848405</v>
      </c>
      <c r="F17" s="457">
        <f>'Release Calculations - 25k lbs'!P12</f>
        <v>4.1016121600530253E-2</v>
      </c>
      <c r="G17" s="455">
        <f>'Release Calculations - 25k lbs'!AH14</f>
        <v>0.65728271221562817</v>
      </c>
      <c r="H17" s="455">
        <f>'Release Calculations - 25k lbs'!Y14</f>
        <v>0.65728271221562817</v>
      </c>
      <c r="I17" s="473">
        <f>'Release Calculations - 25k lbs'!P15</f>
        <v>0.65728271221562817</v>
      </c>
      <c r="J17" s="457">
        <f>'Release Calculations - 25k lbs'!P14</f>
        <v>4.1080169513476761E-2</v>
      </c>
      <c r="K17" s="458">
        <f>'Release Calculations - 25k lbs'!G12</f>
        <v>1</v>
      </c>
      <c r="L17" s="459" t="s">
        <v>133</v>
      </c>
      <c r="O17" s="470"/>
    </row>
    <row r="18" spans="1:15" ht="63.75" x14ac:dyDescent="0.2">
      <c r="A18" s="468" t="s">
        <v>141</v>
      </c>
      <c r="B18" s="453" t="s">
        <v>143</v>
      </c>
      <c r="C18" s="457">
        <f>'Release Calculations - 25k lbs'!AJ12</f>
        <v>0.12144162896383867</v>
      </c>
      <c r="D18" s="457">
        <f>'Release Calculations - 25k lbs'!AA12</f>
        <v>0.12144162896383867</v>
      </c>
      <c r="E18" s="471">
        <f>'Release Calculations - 25k lbs'!R13</f>
        <v>0.12144162896383867</v>
      </c>
      <c r="F18" s="469">
        <f>'Release Calculations - 25k lbs'!R12</f>
        <v>8.0961085975892449E-3</v>
      </c>
      <c r="G18" s="455">
        <f>'Release Calculations - 25k lbs'!AJ14</f>
        <v>0.29835699906033636</v>
      </c>
      <c r="H18" s="455">
        <f>'Release Calculations - 25k lbs'!AA14</f>
        <v>0.29835699906033636</v>
      </c>
      <c r="I18" s="473">
        <f>'Release Calculations - 25k lbs'!R15</f>
        <v>0.29835699906033636</v>
      </c>
      <c r="J18" s="457">
        <f>'Release Calculations - 25k lbs'!R14</f>
        <v>1.9890466604022425E-2</v>
      </c>
      <c r="K18" s="458">
        <f>'Release Calculations - 25k lbs'!G14</f>
        <v>1</v>
      </c>
      <c r="L18" s="459" t="s">
        <v>133</v>
      </c>
      <c r="O18" s="470"/>
    </row>
    <row r="19" spans="1:15" x14ac:dyDescent="0.2">
      <c r="A19" s="474" t="s">
        <v>135</v>
      </c>
      <c r="B19" s="474"/>
      <c r="C19" s="474"/>
      <c r="D19" s="474"/>
      <c r="E19" s="474"/>
      <c r="F19" s="474"/>
      <c r="G19" s="474"/>
      <c r="H19" s="474"/>
      <c r="I19" s="474"/>
      <c r="J19" s="474"/>
      <c r="K19" s="474"/>
      <c r="L19" s="474"/>
    </row>
    <row r="22" spans="1:15" x14ac:dyDescent="0.2">
      <c r="A22" s="449" t="s">
        <v>165</v>
      </c>
      <c r="C22" s="450"/>
      <c r="D22" s="450"/>
      <c r="E22" s="450"/>
      <c r="F22" s="450"/>
      <c r="G22" s="450"/>
      <c r="H22" s="450"/>
      <c r="I22" s="450"/>
      <c r="J22" s="450"/>
      <c r="K22" s="450"/>
    </row>
    <row r="23" spans="1:15" ht="15" customHeight="1" x14ac:dyDescent="0.2">
      <c r="A23" s="464" t="s">
        <v>120</v>
      </c>
      <c r="B23" s="451" t="s">
        <v>121</v>
      </c>
      <c r="C23" s="451" t="s">
        <v>122</v>
      </c>
      <c r="D23" s="451"/>
      <c r="E23" s="451"/>
      <c r="F23" s="451"/>
      <c r="G23" s="451" t="s">
        <v>123</v>
      </c>
      <c r="H23" s="451"/>
      <c r="I23" s="451"/>
      <c r="J23" s="451"/>
      <c r="K23" s="464" t="s">
        <v>124</v>
      </c>
      <c r="L23" s="451" t="s">
        <v>125</v>
      </c>
    </row>
    <row r="24" spans="1:15" ht="38.25" customHeight="1" x14ac:dyDescent="0.2">
      <c r="A24" s="465"/>
      <c r="B24" s="451"/>
      <c r="C24" s="451" t="s">
        <v>126</v>
      </c>
      <c r="D24" s="451" t="s">
        <v>127</v>
      </c>
      <c r="E24" s="451" t="s">
        <v>128</v>
      </c>
      <c r="F24" s="451"/>
      <c r="G24" s="451" t="s">
        <v>126</v>
      </c>
      <c r="H24" s="451" t="s">
        <v>127</v>
      </c>
      <c r="I24" s="451" t="s">
        <v>128</v>
      </c>
      <c r="J24" s="451"/>
      <c r="K24" s="465"/>
      <c r="L24" s="451"/>
      <c r="N24" s="475"/>
    </row>
    <row r="25" spans="1:15" ht="25.5" x14ac:dyDescent="0.2">
      <c r="A25" s="467"/>
      <c r="B25" s="451"/>
      <c r="C25" s="451"/>
      <c r="D25" s="451"/>
      <c r="E25" s="452" t="s">
        <v>254</v>
      </c>
      <c r="F25" s="452" t="s">
        <v>167</v>
      </c>
      <c r="G25" s="451"/>
      <c r="H25" s="451"/>
      <c r="I25" s="452" t="s">
        <v>254</v>
      </c>
      <c r="J25" s="452" t="s">
        <v>167</v>
      </c>
      <c r="K25" s="467"/>
      <c r="L25" s="451"/>
      <c r="N25" s="475"/>
    </row>
    <row r="26" spans="1:15" ht="63.75" x14ac:dyDescent="0.2">
      <c r="A26" s="495" t="s">
        <v>168</v>
      </c>
      <c r="B26" s="453" t="s">
        <v>169</v>
      </c>
      <c r="C26" s="454">
        <f>'Release Calculations - 25k lbs'!AN17</f>
        <v>11.33980925</v>
      </c>
      <c r="D26" s="454">
        <f>'Release Calculations - 25k lbs'!AE17</f>
        <v>11.33980925</v>
      </c>
      <c r="E26" s="455">
        <f>'Release Calculations - 25k lbs'!V18</f>
        <v>2.8349523125</v>
      </c>
      <c r="F26" s="457">
        <f>'Release Calculations - 25k lbs'!V17</f>
        <v>8.0998637499999998E-2</v>
      </c>
      <c r="G26" s="456">
        <f>'Release Calculations - 25k lbs'!AN19</f>
        <v>56.699046250000002</v>
      </c>
      <c r="H26" s="456">
        <f>'Release Calculations - 25k lbs'!AE19</f>
        <v>56.699046250000002</v>
      </c>
      <c r="I26" s="455">
        <f>'Release Calculations - 25k lbs'!V20</f>
        <v>14.174761562500001</v>
      </c>
      <c r="J26" s="455">
        <f>'Release Calculations - 25k lbs'!V19</f>
        <v>0.40499318750000002</v>
      </c>
      <c r="K26" s="458">
        <f>'Release Calculations - 25k lbs'!G17</f>
        <v>1</v>
      </c>
      <c r="L26" s="459" t="s">
        <v>133</v>
      </c>
      <c r="N26" s="481"/>
    </row>
    <row r="27" spans="1:15" ht="51" x14ac:dyDescent="0.2">
      <c r="A27" s="495" t="s">
        <v>170</v>
      </c>
      <c r="B27" s="453" t="s">
        <v>171</v>
      </c>
      <c r="C27" s="456">
        <f>'Release Calculations - 25k lbs'!AO17</f>
        <v>113.3980925</v>
      </c>
      <c r="D27" s="456">
        <f>'Release Calculations - 25k lbs'!AF17</f>
        <v>113.3980925</v>
      </c>
      <c r="E27" s="454">
        <f>'Release Calculations - 25k lbs'!W18</f>
        <v>28.349523125000001</v>
      </c>
      <c r="F27" s="455">
        <f>'Release Calculations - 25k lbs'!W17</f>
        <v>0.80998637500000004</v>
      </c>
      <c r="G27" s="456">
        <f>'Release Calculations - 25k lbs'!AO19</f>
        <v>113.3980925</v>
      </c>
      <c r="H27" s="456">
        <f>'Release Calculations - 25k lbs'!AF19</f>
        <v>113.3980925</v>
      </c>
      <c r="I27" s="454">
        <f>'Release Calculations - 25k lbs'!W20</f>
        <v>28.349523125000001</v>
      </c>
      <c r="J27" s="455">
        <f>'Release Calculations - 25k lbs'!W19</f>
        <v>0.80998637500000004</v>
      </c>
      <c r="K27" s="458">
        <f>'Release Calculations - 25k lbs'!G17</f>
        <v>1</v>
      </c>
      <c r="L27" s="459" t="s">
        <v>133</v>
      </c>
      <c r="N27" s="481"/>
    </row>
    <row r="28" spans="1:15" ht="25.5" x14ac:dyDescent="0.2">
      <c r="A28" s="495" t="s">
        <v>172</v>
      </c>
      <c r="B28" s="459" t="s">
        <v>70</v>
      </c>
      <c r="C28" s="496">
        <f>'Release Calculations - 25k lbs'!AL17</f>
        <v>113.3980925</v>
      </c>
      <c r="D28" s="496">
        <f>'Release Calculations - 25k lbs'!AC17</f>
        <v>113.3980925</v>
      </c>
      <c r="E28" s="454">
        <f>'Release Calculations - 25k lbs'!T18</f>
        <v>28.349523125000001</v>
      </c>
      <c r="F28" s="455">
        <f>'Release Calculations - 25k lbs'!T17</f>
        <v>0.80998637500000004</v>
      </c>
      <c r="G28" s="496">
        <f>'Release Calculations - 25k lbs'!AL19</f>
        <v>113.3980925</v>
      </c>
      <c r="H28" s="496">
        <f>'Release Calculations - 25k lbs'!AC19</f>
        <v>113.3980925</v>
      </c>
      <c r="I28" s="454">
        <f>'Release Calculations - 25k lbs'!T20</f>
        <v>28.349523125000001</v>
      </c>
      <c r="J28" s="455">
        <f>'Release Calculations - 25k lbs'!T19</f>
        <v>0.80998637500000004</v>
      </c>
      <c r="K28" s="458">
        <f>'Release Calculations - 25k lbs'!G17</f>
        <v>1</v>
      </c>
      <c r="L28" s="459" t="s">
        <v>133</v>
      </c>
      <c r="N28" s="481"/>
    </row>
    <row r="29" spans="1:15" ht="25.5" x14ac:dyDescent="0.2">
      <c r="A29" s="495" t="s">
        <v>173</v>
      </c>
      <c r="B29" s="453" t="s">
        <v>174</v>
      </c>
      <c r="C29" s="456">
        <f>'Release Calculations - 25k lbs'!AP17</f>
        <v>113.3980925</v>
      </c>
      <c r="D29" s="456">
        <f>'Release Calculations - 25k lbs'!AG17</f>
        <v>113.3980925</v>
      </c>
      <c r="E29" s="455">
        <f>'Release Calculations - 25k lbs'!X18</f>
        <v>28.349523125000001</v>
      </c>
      <c r="F29" s="455">
        <f>'Release Calculations - 25k lbs'!X17</f>
        <v>0.80998637500000004</v>
      </c>
      <c r="G29" s="456">
        <f>'Release Calculations - 25k lbs'!AP19</f>
        <v>283.49523125000002</v>
      </c>
      <c r="H29" s="456">
        <f>'Release Calculations - 25k lbs'!AG19</f>
        <v>283.49523125000002</v>
      </c>
      <c r="I29" s="455">
        <f>'Release Calculations - 25k lbs'!X20</f>
        <v>70.873807812500004</v>
      </c>
      <c r="J29" s="455">
        <f>'Release Calculations - 25k lbs'!X19</f>
        <v>2.0249659375000002</v>
      </c>
      <c r="K29" s="458">
        <f>'Release Calculations - 25k lbs'!G17</f>
        <v>1</v>
      </c>
      <c r="L29" s="459" t="s">
        <v>133</v>
      </c>
      <c r="N29" s="481"/>
    </row>
    <row r="30" spans="1:15" x14ac:dyDescent="0.2">
      <c r="A30" s="463" t="s">
        <v>135</v>
      </c>
      <c r="B30" s="463"/>
      <c r="C30" s="463"/>
      <c r="D30" s="463"/>
      <c r="E30" s="463"/>
      <c r="F30" s="463"/>
      <c r="G30" s="463"/>
      <c r="H30" s="463"/>
      <c r="I30" s="463"/>
      <c r="J30" s="463"/>
      <c r="K30" s="463"/>
      <c r="L30" s="463"/>
    </row>
  </sheetData>
  <sheetProtection algorithmName="SHA-512" hashValue="/tOLH7dZr3pUzV0PmJ8O2p5ennE8jVnWSJjtEKHGsnzwmz7z67fAYpQn/wzK7RuxUm661v+6A1vCiHEmr6z4ig==" saltValue="VDlYQJ5W+rJeEF795m7R7Q==" spinCount="100000" sheet="1" objects="1" scenarios="1"/>
  <mergeCells count="41">
    <mergeCell ref="A19:L19"/>
    <mergeCell ref="A14:A16"/>
    <mergeCell ref="B14:B16"/>
    <mergeCell ref="C14:F14"/>
    <mergeCell ref="G14:J14"/>
    <mergeCell ref="K14:K16"/>
    <mergeCell ref="L14:L16"/>
    <mergeCell ref="C15:C16"/>
    <mergeCell ref="D15:D16"/>
    <mergeCell ref="E15:F15"/>
    <mergeCell ref="G15:G16"/>
    <mergeCell ref="H15:H16"/>
    <mergeCell ref="I15:J15"/>
    <mergeCell ref="C6:C7"/>
    <mergeCell ref="D6:D7"/>
    <mergeCell ref="E6:F6"/>
    <mergeCell ref="G6:G7"/>
    <mergeCell ref="O17:O18"/>
    <mergeCell ref="H6:H7"/>
    <mergeCell ref="I6:J6"/>
    <mergeCell ref="A10:L10"/>
    <mergeCell ref="A5:A7"/>
    <mergeCell ref="B5:B7"/>
    <mergeCell ref="C5:F5"/>
    <mergeCell ref="G5:J5"/>
    <mergeCell ref="K5:K7"/>
    <mergeCell ref="L5:L7"/>
    <mergeCell ref="N24:N25"/>
    <mergeCell ref="A30:L30"/>
    <mergeCell ref="L23:L25"/>
    <mergeCell ref="C24:C25"/>
    <mergeCell ref="D24:D25"/>
    <mergeCell ref="E24:F24"/>
    <mergeCell ref="G24:G25"/>
    <mergeCell ref="H24:H25"/>
    <mergeCell ref="I24:J24"/>
    <mergeCell ref="K23:K25"/>
    <mergeCell ref="A23:A25"/>
    <mergeCell ref="B23:B25"/>
    <mergeCell ref="C23:F23"/>
    <mergeCell ref="G23:J23"/>
  </mergeCells>
  <pageMargins left="0.7" right="0.7" top="0.75" bottom="0.75" header="0.3" footer="0.3"/>
  <pageSetup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50489B-A21B-4416-8499-CD72C5C6DECA}">
  <dimension ref="A1:O18"/>
  <sheetViews>
    <sheetView workbookViewId="0">
      <pane xSplit="2" ySplit="5" topLeftCell="J8" activePane="bottomRight" state="frozen"/>
      <selection pane="topRight" activeCell="B4" sqref="B4"/>
      <selection pane="bottomLeft" activeCell="B4" sqref="B4"/>
      <selection pane="bottomRight" activeCell="A2" sqref="A2"/>
    </sheetView>
  </sheetViews>
  <sheetFormatPr defaultRowHeight="15" x14ac:dyDescent="0.25"/>
  <cols>
    <col min="1" max="1" width="9.140625" style="125"/>
    <col min="2" max="2" width="48.85546875" style="487" customWidth="1"/>
    <col min="3" max="3" width="16.85546875" style="125" customWidth="1"/>
    <col min="4" max="4" width="19" style="125" customWidth="1"/>
    <col min="5" max="5" width="15.5703125" style="125" customWidth="1"/>
    <col min="6" max="6" width="20.140625" style="125" customWidth="1"/>
    <col min="7" max="7" width="17.42578125" style="125" customWidth="1"/>
    <col min="8" max="8" width="20.28515625" style="125" customWidth="1"/>
    <col min="9" max="9" width="9.140625" style="125"/>
    <col min="10" max="14" width="16" style="125" customWidth="1"/>
    <col min="15" max="15" width="21.5703125" style="125" customWidth="1"/>
    <col min="16" max="16" width="31.85546875" style="125" customWidth="1"/>
    <col min="17" max="16384" width="9.140625" style="125"/>
  </cols>
  <sheetData>
    <row r="1" spans="1:15" x14ac:dyDescent="0.25">
      <c r="A1" s="125" t="s">
        <v>259</v>
      </c>
    </row>
    <row r="3" spans="1:15" x14ac:dyDescent="0.25">
      <c r="A3" s="543" t="s">
        <v>27</v>
      </c>
      <c r="B3" s="544"/>
      <c r="C3" s="168" t="s">
        <v>260</v>
      </c>
      <c r="D3" s="168"/>
      <c r="E3" s="168"/>
      <c r="F3" s="168"/>
      <c r="G3" s="168"/>
      <c r="H3" s="168"/>
      <c r="J3" s="168" t="s">
        <v>261</v>
      </c>
      <c r="K3" s="168"/>
      <c r="L3" s="168"/>
      <c r="M3" s="168"/>
      <c r="N3" s="168"/>
      <c r="O3" s="168"/>
    </row>
    <row r="4" spans="1:15" x14ac:dyDescent="0.25">
      <c r="A4" s="545"/>
      <c r="B4" s="546"/>
      <c r="C4" s="168" t="s">
        <v>262</v>
      </c>
      <c r="D4" s="168"/>
      <c r="E4" s="168" t="s">
        <v>263</v>
      </c>
      <c r="F4" s="168"/>
      <c r="G4" s="168" t="s">
        <v>264</v>
      </c>
      <c r="H4" s="168"/>
      <c r="J4" s="168" t="s">
        <v>262</v>
      </c>
      <c r="K4" s="168"/>
      <c r="L4" s="168" t="s">
        <v>263</v>
      </c>
      <c r="M4" s="168"/>
      <c r="N4" s="168" t="s">
        <v>264</v>
      </c>
      <c r="O4" s="168"/>
    </row>
    <row r="5" spans="1:15" ht="29.25" x14ac:dyDescent="0.25">
      <c r="A5" s="547" t="s">
        <v>28</v>
      </c>
      <c r="B5" s="548" t="s">
        <v>29</v>
      </c>
      <c r="C5" s="548" t="s">
        <v>265</v>
      </c>
      <c r="D5" s="548" t="s">
        <v>266</v>
      </c>
      <c r="E5" s="548" t="s">
        <v>265</v>
      </c>
      <c r="F5" s="548" t="s">
        <v>266</v>
      </c>
      <c r="G5" s="548" t="s">
        <v>265</v>
      </c>
      <c r="H5" s="548" t="s">
        <v>266</v>
      </c>
      <c r="J5" s="548" t="s">
        <v>267</v>
      </c>
      <c r="K5" s="548" t="s">
        <v>268</v>
      </c>
      <c r="L5" s="548" t="s">
        <v>267</v>
      </c>
      <c r="M5" s="548" t="s">
        <v>268</v>
      </c>
      <c r="N5" s="548" t="s">
        <v>267</v>
      </c>
      <c r="O5" s="548" t="s">
        <v>268</v>
      </c>
    </row>
    <row r="6" spans="1:15" x14ac:dyDescent="0.25">
      <c r="A6" s="202">
        <v>1</v>
      </c>
      <c r="B6" s="549" t="str">
        <f>'Exposure Scenario (Exp. Scen.)'!B5</f>
        <v>Repackaging of import containers</v>
      </c>
      <c r="C6" s="202">
        <f>'Releases_Exp. Scen. 1'!E15</f>
        <v>29</v>
      </c>
      <c r="D6" s="202">
        <f>'Releases_Exp. Scen. 1'!E14</f>
        <v>300</v>
      </c>
      <c r="E6" s="202">
        <f>'Releases_Exp. Scen. 1'!E18</f>
        <v>15</v>
      </c>
      <c r="F6" s="202">
        <f>'Releases_Exp. Scen. 1'!E17</f>
        <v>150</v>
      </c>
      <c r="G6" s="202">
        <f>'Releases_Exp. Scen. 1'!E21</f>
        <v>7</v>
      </c>
      <c r="H6" s="202">
        <f>'Releases_Exp. Scen. 1'!E20</f>
        <v>75</v>
      </c>
      <c r="J6" s="202">
        <v>1</v>
      </c>
      <c r="K6" s="202">
        <v>1</v>
      </c>
      <c r="L6" s="202">
        <v>1</v>
      </c>
      <c r="M6" s="202">
        <v>1</v>
      </c>
      <c r="N6" s="202">
        <v>1</v>
      </c>
      <c r="O6" s="202">
        <v>1</v>
      </c>
    </row>
    <row r="7" spans="1:15" ht="30" x14ac:dyDescent="0.25">
      <c r="A7" s="202">
        <v>2</v>
      </c>
      <c r="B7" s="549" t="str">
        <f>'Exposure Scenario (Exp. Scen.)'!B6</f>
        <v>Compounding of Polystyrene Resin to Produce XPS Masterbatch</v>
      </c>
      <c r="C7" s="202">
        <f>'Releases_Exp. Scen. 2'!E25</f>
        <v>10</v>
      </c>
      <c r="D7" s="416">
        <f>'Releases_Exp. Scen. 2'!E24</f>
        <v>60</v>
      </c>
      <c r="E7" s="550" t="s">
        <v>269</v>
      </c>
      <c r="F7" s="550"/>
      <c r="G7" s="550"/>
      <c r="H7" s="550"/>
      <c r="J7" s="202">
        <v>1</v>
      </c>
      <c r="K7" s="202">
        <v>1</v>
      </c>
      <c r="L7" s="550" t="s">
        <v>269</v>
      </c>
      <c r="M7" s="550"/>
      <c r="N7" s="550"/>
      <c r="O7" s="550"/>
    </row>
    <row r="8" spans="1:15" ht="30" x14ac:dyDescent="0.25">
      <c r="A8" s="202">
        <v>3</v>
      </c>
      <c r="B8" s="549" t="str">
        <f>'Exposure Scenario (Exp. Scen.)'!B7</f>
        <v>Processing of HBCD to Produce XPS Foam using XPS Masterbatch</v>
      </c>
      <c r="C8" s="202">
        <f>'Releases_Exp. Scen. 3'!E28</f>
        <v>1</v>
      </c>
      <c r="D8" s="202" t="s">
        <v>270</v>
      </c>
      <c r="E8" s="202">
        <f>'Releases_Exp. Scen. 3'!E28</f>
        <v>1</v>
      </c>
      <c r="F8" s="202" t="s">
        <v>270</v>
      </c>
      <c r="G8" s="202">
        <f>'Releases_Exp. Scen. 3'!E28</f>
        <v>1</v>
      </c>
      <c r="H8" s="202" t="s">
        <v>270</v>
      </c>
      <c r="J8" s="202">
        <v>1</v>
      </c>
      <c r="K8" s="202">
        <v>1</v>
      </c>
      <c r="L8" s="202">
        <v>1</v>
      </c>
      <c r="M8" s="202">
        <v>1</v>
      </c>
      <c r="N8" s="202">
        <v>1</v>
      </c>
      <c r="O8" s="202">
        <v>1</v>
      </c>
    </row>
    <row r="9" spans="1:15" ht="30" x14ac:dyDescent="0.25">
      <c r="A9" s="202">
        <v>4</v>
      </c>
      <c r="B9" s="549" t="str">
        <f>'Exposure Scenario (Exp. Scen.)'!B8</f>
        <v>Processing of HBCD to Produce XPS Foam using HBCD Powder</v>
      </c>
      <c r="C9" s="202">
        <f>'Releases_Exp. Scen. 4_EURAR'!E39</f>
        <v>1</v>
      </c>
      <c r="D9" s="202" t="s">
        <v>271</v>
      </c>
      <c r="E9" s="550" t="s">
        <v>269</v>
      </c>
      <c r="F9" s="550"/>
      <c r="G9" s="550"/>
      <c r="H9" s="550"/>
      <c r="J9" s="202">
        <v>1</v>
      </c>
      <c r="K9" s="202">
        <v>1</v>
      </c>
      <c r="L9" s="550" t="s">
        <v>269</v>
      </c>
      <c r="M9" s="550"/>
      <c r="N9" s="550"/>
      <c r="O9" s="550"/>
    </row>
    <row r="10" spans="1:15" ht="30" x14ac:dyDescent="0.25">
      <c r="A10" s="202">
        <v>5</v>
      </c>
      <c r="B10" s="549" t="str">
        <f>'Exposure Scenario (Exp. Scen.)'!B9</f>
        <v>Processing of HBCD to Produce EPS Foam from Imported EPS Resin Beads</v>
      </c>
      <c r="C10" s="202">
        <f>'Releases_Exp. Scen. 5 and 10'!E18</f>
        <v>16</v>
      </c>
      <c r="D10" s="202">
        <f>'Releases_Exp. Scen. 5 and 10'!E17</f>
        <v>140</v>
      </c>
      <c r="E10" s="202">
        <f>'Releases_Exp. Scen. 5 and 10'!E23</f>
        <v>8</v>
      </c>
      <c r="F10" s="202">
        <f>'Releases_Exp. Scen. 5 and 10'!E22</f>
        <v>140</v>
      </c>
      <c r="G10" s="202">
        <f>'Releases_Exp. Scen. 5 and 10'!E26</f>
        <v>4</v>
      </c>
      <c r="H10" s="202">
        <f>'Releases_Exp. Scen. 5 and 10'!E25</f>
        <v>140</v>
      </c>
      <c r="J10" s="202">
        <v>1</v>
      </c>
      <c r="K10" s="202">
        <v>1</v>
      </c>
      <c r="L10" s="202">
        <v>1</v>
      </c>
      <c r="M10" s="202">
        <v>1</v>
      </c>
      <c r="N10" s="202">
        <v>1</v>
      </c>
      <c r="O10" s="202">
        <v>1</v>
      </c>
    </row>
    <row r="11" spans="1:15" ht="30" x14ac:dyDescent="0.25">
      <c r="A11" s="202">
        <v>6</v>
      </c>
      <c r="B11" s="549" t="str">
        <f>'Exposure Scenario (Exp. Scen.)'!B10</f>
        <v>Processing to Produce SIPs and Automobile Replacement Parts from XPS/EPS Foam</v>
      </c>
      <c r="C11" s="202">
        <f>'Releases_Exp. Scen. 6 and 8'!E26</f>
        <v>16</v>
      </c>
      <c r="D11" s="202">
        <f>'Releases_Exp. Scen. 6 and 8'!E25</f>
        <v>300</v>
      </c>
      <c r="E11" s="550" t="s">
        <v>269</v>
      </c>
      <c r="F11" s="550"/>
      <c r="G11" s="550"/>
      <c r="H11" s="550"/>
      <c r="J11" s="202">
        <v>2</v>
      </c>
      <c r="K11" s="202">
        <v>2</v>
      </c>
      <c r="L11" s="550" t="s">
        <v>269</v>
      </c>
      <c r="M11" s="550"/>
      <c r="N11" s="550"/>
      <c r="O11" s="550"/>
    </row>
    <row r="12" spans="1:15" x14ac:dyDescent="0.25">
      <c r="A12" s="202">
        <v>7</v>
      </c>
      <c r="B12" s="549" t="str">
        <f>'Exposure Scenario (Exp. Scen.)'!B11</f>
        <v>Use: Installation of Automotive Replacement Parts</v>
      </c>
      <c r="C12" s="550" t="s">
        <v>91</v>
      </c>
      <c r="D12" s="550"/>
      <c r="E12" s="550"/>
      <c r="F12" s="550"/>
      <c r="G12" s="550"/>
      <c r="H12" s="550"/>
      <c r="J12" s="550" t="s">
        <v>91</v>
      </c>
      <c r="K12" s="550"/>
      <c r="L12" s="550"/>
      <c r="M12" s="550"/>
      <c r="N12" s="550"/>
      <c r="O12" s="550"/>
    </row>
    <row r="13" spans="1:15" ht="45" x14ac:dyDescent="0.25">
      <c r="A13" s="202">
        <v>8</v>
      </c>
      <c r="B13" s="549" t="str">
        <f>'Exposure Scenario (Exp. Scen.)'!B12</f>
        <v>Use: Installation of XPS/EPS Foam Insulation in Residential, Public, and Commercial Buildings, and Other Structures</v>
      </c>
      <c r="C13" s="202">
        <f>'Releases_Exp. Scen. 6 and 8'!E28</f>
        <v>1</v>
      </c>
      <c r="D13" s="202">
        <f>'Releases_Exp. Scen. 6 and 8'!E27</f>
        <v>3</v>
      </c>
      <c r="E13" s="550" t="s">
        <v>269</v>
      </c>
      <c r="F13" s="550"/>
      <c r="G13" s="550"/>
      <c r="H13" s="550"/>
      <c r="J13" s="202">
        <v>34</v>
      </c>
      <c r="K13" s="551">
        <v>2696</v>
      </c>
      <c r="L13" s="550" t="s">
        <v>269</v>
      </c>
      <c r="M13" s="550"/>
      <c r="N13" s="550"/>
      <c r="O13" s="550"/>
    </row>
    <row r="14" spans="1:15" ht="45" x14ac:dyDescent="0.25">
      <c r="A14" s="202">
        <v>9</v>
      </c>
      <c r="B14" s="549" t="str">
        <f>'Exposure Scenario (Exp. Scen.)'!B13</f>
        <v>Demolition and Disposal of XPS/EPS Foam Insulation Products in Residential, Public and Commercial Buildings, and Other Structures</v>
      </c>
      <c r="C14" s="552">
        <f>'Releases_Exp. Scen. 9'!A20</f>
        <v>1</v>
      </c>
      <c r="D14" s="552">
        <f>'Releases_Exp. Scen. 9'!A20</f>
        <v>1</v>
      </c>
      <c r="E14" s="550" t="s">
        <v>269</v>
      </c>
      <c r="F14" s="550"/>
      <c r="G14" s="550"/>
      <c r="H14" s="550"/>
      <c r="J14" s="553">
        <f>'Release Calculations - 100k lbs'!G41</f>
        <v>343.4</v>
      </c>
      <c r="K14" s="554">
        <f>'Release Calculations - 100k lbs'!G40</f>
        <v>27229.599999999999</v>
      </c>
      <c r="L14" s="550" t="s">
        <v>269</v>
      </c>
      <c r="M14" s="550"/>
      <c r="N14" s="550"/>
      <c r="O14" s="550"/>
    </row>
    <row r="15" spans="1:15" ht="30" x14ac:dyDescent="0.25">
      <c r="A15" s="202">
        <v>10</v>
      </c>
      <c r="B15" s="549" t="str">
        <f>'Exposure Scenario (Exp. Scen.)'!B14</f>
        <v>Processing: Recycling of EPS Foam and Reuse of XPS Foam</v>
      </c>
      <c r="C15" s="202">
        <f>'Releases_Exp. Scen. 5 and 10'!E20</f>
        <v>1</v>
      </c>
      <c r="D15" s="202">
        <f>'Releases_Exp. Scen. 5 and 10'!E19</f>
        <v>140</v>
      </c>
      <c r="E15" s="550" t="s">
        <v>269</v>
      </c>
      <c r="F15" s="550"/>
      <c r="G15" s="550"/>
      <c r="H15" s="550"/>
      <c r="J15" s="202">
        <v>2</v>
      </c>
      <c r="K15" s="202">
        <v>2</v>
      </c>
      <c r="L15" s="550" t="s">
        <v>269</v>
      </c>
      <c r="M15" s="550"/>
      <c r="N15" s="550"/>
      <c r="O15" s="550"/>
    </row>
    <row r="16" spans="1:15" x14ac:dyDescent="0.25">
      <c r="A16" s="202">
        <v>11</v>
      </c>
      <c r="B16" s="549" t="str">
        <f>'Exposure Scenario (Exp. Scen.)'!B15</f>
        <v>Formulation of Flux/Solder Pastes</v>
      </c>
      <c r="C16" s="202">
        <f>'Releases_Exp. Scen. 11'!E14</f>
        <v>5</v>
      </c>
      <c r="D16" s="202">
        <f>'Releases_Exp. Scen. 11'!E15</f>
        <v>300</v>
      </c>
      <c r="E16" s="550" t="s">
        <v>269</v>
      </c>
      <c r="F16" s="550"/>
      <c r="G16" s="550"/>
      <c r="H16" s="550"/>
      <c r="J16" s="202">
        <v>1</v>
      </c>
      <c r="K16" s="202">
        <v>1</v>
      </c>
      <c r="L16" s="550" t="s">
        <v>269</v>
      </c>
      <c r="M16" s="550"/>
      <c r="N16" s="550"/>
      <c r="O16" s="550"/>
    </row>
    <row r="17" spans="1:15" x14ac:dyDescent="0.25">
      <c r="A17" s="202">
        <v>12</v>
      </c>
      <c r="B17" s="549" t="str">
        <f>'Exposure Scenario (Exp. Scen.)'!B16</f>
        <v>Use of Flux / Solder Pastes</v>
      </c>
      <c r="C17" s="202">
        <f>'Releases_Exp. Scen. 12'!E25</f>
        <v>4</v>
      </c>
      <c r="D17" s="202">
        <f>'Releases_Exp. Scen. 12'!E26</f>
        <v>300</v>
      </c>
      <c r="E17" s="550" t="s">
        <v>269</v>
      </c>
      <c r="F17" s="550"/>
      <c r="G17" s="550"/>
      <c r="H17" s="550"/>
      <c r="J17" s="550">
        <v>227</v>
      </c>
      <c r="K17" s="550"/>
      <c r="L17" s="550" t="s">
        <v>269</v>
      </c>
      <c r="M17" s="550"/>
      <c r="N17" s="550"/>
      <c r="O17" s="550"/>
    </row>
    <row r="18" spans="1:15" x14ac:dyDescent="0.25">
      <c r="A18" s="202">
        <v>13</v>
      </c>
      <c r="B18" s="549" t="str">
        <f>'Exposure Scenario (Exp. Scen.)'!B17</f>
        <v xml:space="preserve">Recycling of electronics waste containing HIPS </v>
      </c>
      <c r="C18" s="202">
        <f>'Releases_Exp. Scen. 13'!B9</f>
        <v>250</v>
      </c>
      <c r="D18" s="202">
        <f>'Releases_Exp. Scen. 13'!B9</f>
        <v>250</v>
      </c>
      <c r="E18" s="550" t="s">
        <v>269</v>
      </c>
      <c r="F18" s="550"/>
      <c r="G18" s="550"/>
      <c r="H18" s="550"/>
    </row>
  </sheetData>
  <sheetProtection algorithmName="SHA-512" hashValue="KctcaO4IZFUg/AzyXL81NJkDN0/XeCkJ4Z3nZhcELeGxpCQiquk/fijf2MGdi/vKbe0Mme8gmO3yVau3FiCepQ==" saltValue="vh+yQF4AJc7s5/UQ457IiA==" spinCount="100000" sheet="1" objects="1" scenarios="1"/>
  <mergeCells count="29">
    <mergeCell ref="L16:O16"/>
    <mergeCell ref="L17:O17"/>
    <mergeCell ref="E7:H7"/>
    <mergeCell ref="E9:H9"/>
    <mergeCell ref="E11:H11"/>
    <mergeCell ref="E13:H13"/>
    <mergeCell ref="E15:H15"/>
    <mergeCell ref="J17:K17"/>
    <mergeCell ref="L7:O7"/>
    <mergeCell ref="L9:O9"/>
    <mergeCell ref="L11:O11"/>
    <mergeCell ref="L13:O13"/>
    <mergeCell ref="L15:O15"/>
    <mergeCell ref="E18:H18"/>
    <mergeCell ref="L4:M4"/>
    <mergeCell ref="E14:H14"/>
    <mergeCell ref="L14:O14"/>
    <mergeCell ref="A3:B4"/>
    <mergeCell ref="N4:O4"/>
    <mergeCell ref="C3:H3"/>
    <mergeCell ref="J3:O3"/>
    <mergeCell ref="J12:O12"/>
    <mergeCell ref="C4:D4"/>
    <mergeCell ref="E4:F4"/>
    <mergeCell ref="G4:H4"/>
    <mergeCell ref="C12:H12"/>
    <mergeCell ref="J4:K4"/>
    <mergeCell ref="E16:H16"/>
    <mergeCell ref="E17:H17"/>
  </mergeCells>
  <pageMargins left="0.7" right="0.7" top="0.75" bottom="0.75" header="0.3" footer="0.3"/>
  <pageSetup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C78298-A09A-4620-9353-C88D21F7F24C}">
  <sheetPr codeName="Sheet7"/>
  <dimension ref="A1:I21"/>
  <sheetViews>
    <sheetView workbookViewId="0">
      <selection activeCell="A3" sqref="A3:E3"/>
    </sheetView>
  </sheetViews>
  <sheetFormatPr defaultRowHeight="15" x14ac:dyDescent="0.25"/>
  <cols>
    <col min="1" max="1" width="30" style="487" customWidth="1"/>
    <col min="2" max="2" width="19.140625" style="487" customWidth="1"/>
    <col min="3" max="3" width="42.28515625" style="487" customWidth="1"/>
    <col min="4" max="4" width="36.140625" style="487" customWidth="1"/>
    <col min="5" max="5" width="20.42578125" style="487" customWidth="1"/>
    <col min="6" max="6" width="31.140625" style="487" customWidth="1"/>
    <col min="7" max="8" width="18.42578125" style="487" customWidth="1"/>
    <col min="9" max="9" width="14.42578125" style="487" customWidth="1"/>
    <col min="10" max="16384" width="9.140625" style="487"/>
  </cols>
  <sheetData>
    <row r="1" spans="1:9" x14ac:dyDescent="0.25">
      <c r="A1" s="125" t="s">
        <v>272</v>
      </c>
    </row>
    <row r="2" spans="1:9" x14ac:dyDescent="0.25">
      <c r="A2" s="125"/>
    </row>
    <row r="3" spans="1:9" x14ac:dyDescent="0.25">
      <c r="A3" s="555" t="s">
        <v>273</v>
      </c>
      <c r="B3" s="555"/>
      <c r="C3" s="555"/>
      <c r="D3" s="555"/>
      <c r="E3" s="555"/>
      <c r="F3" s="556"/>
      <c r="G3" s="557" t="s">
        <v>274</v>
      </c>
      <c r="H3" s="557"/>
      <c r="I3" s="557"/>
    </row>
    <row r="4" spans="1:9" ht="45" customHeight="1" x14ac:dyDescent="0.25">
      <c r="A4" s="558" t="s">
        <v>120</v>
      </c>
      <c r="B4" s="559" t="s">
        <v>275</v>
      </c>
      <c r="C4" s="560"/>
      <c r="D4" s="558" t="s">
        <v>276</v>
      </c>
      <c r="E4" s="558" t="s">
        <v>277</v>
      </c>
      <c r="G4" s="558" t="s">
        <v>278</v>
      </c>
      <c r="H4" s="548" t="s">
        <v>279</v>
      </c>
      <c r="I4" s="548" t="s">
        <v>280</v>
      </c>
    </row>
    <row r="5" spans="1:9" ht="75" x14ac:dyDescent="0.25">
      <c r="A5" s="561" t="s">
        <v>281</v>
      </c>
      <c r="B5" s="561">
        <v>1E-3</v>
      </c>
      <c r="C5" s="561">
        <v>5.0000000000000001E-3</v>
      </c>
      <c r="D5" s="561" t="s">
        <v>282</v>
      </c>
      <c r="E5" s="561" t="s">
        <v>896</v>
      </c>
      <c r="G5" s="561" t="s">
        <v>282</v>
      </c>
      <c r="H5" s="562">
        <f>B5</f>
        <v>1E-3</v>
      </c>
      <c r="I5" s="562">
        <f>C5</f>
        <v>5.0000000000000001E-3</v>
      </c>
    </row>
    <row r="6" spans="1:9" ht="30" x14ac:dyDescent="0.25">
      <c r="A6" s="561" t="s">
        <v>284</v>
      </c>
      <c r="B6" s="561">
        <v>0.01</v>
      </c>
      <c r="C6" s="561">
        <v>0.01</v>
      </c>
      <c r="D6" s="561" t="s">
        <v>285</v>
      </c>
      <c r="E6" s="561" t="s">
        <v>897</v>
      </c>
      <c r="G6" s="561" t="s">
        <v>70</v>
      </c>
      <c r="H6" s="562">
        <f>B6</f>
        <v>0.01</v>
      </c>
      <c r="I6" s="562">
        <f>C6</f>
        <v>0.01</v>
      </c>
    </row>
    <row r="7" spans="1:9" x14ac:dyDescent="0.25">
      <c r="A7" s="563"/>
      <c r="C7" s="563"/>
      <c r="D7" s="563"/>
      <c r="E7" s="563"/>
    </row>
    <row r="8" spans="1:9" x14ac:dyDescent="0.25">
      <c r="F8" s="564"/>
      <c r="G8" s="565"/>
      <c r="H8" s="566"/>
      <c r="I8" s="564"/>
    </row>
    <row r="10" spans="1:9" x14ac:dyDescent="0.25">
      <c r="A10" s="567" t="s">
        <v>286</v>
      </c>
      <c r="B10" s="568"/>
      <c r="C10" s="568"/>
      <c r="D10" s="568"/>
      <c r="E10" s="569"/>
      <c r="F10" s="570" t="s">
        <v>287</v>
      </c>
    </row>
    <row r="11" spans="1:9" ht="15" customHeight="1" x14ac:dyDescent="0.25">
      <c r="A11" s="555" t="s">
        <v>288</v>
      </c>
      <c r="B11" s="555"/>
      <c r="C11" s="555"/>
      <c r="D11" s="567" t="s">
        <v>289</v>
      </c>
      <c r="E11" s="569"/>
      <c r="F11" s="571"/>
    </row>
    <row r="12" spans="1:9" ht="29.25" x14ac:dyDescent="0.25">
      <c r="A12" s="548" t="s">
        <v>290</v>
      </c>
      <c r="B12" s="548" t="s">
        <v>291</v>
      </c>
      <c r="C12" s="548" t="s">
        <v>292</v>
      </c>
      <c r="D12" s="548" t="s">
        <v>293</v>
      </c>
      <c r="E12" s="548" t="s">
        <v>294</v>
      </c>
      <c r="F12" s="572"/>
    </row>
    <row r="13" spans="1:9" x14ac:dyDescent="0.25">
      <c r="A13" s="555" t="s">
        <v>295</v>
      </c>
      <c r="B13" s="555"/>
      <c r="C13" s="555"/>
      <c r="D13" s="555"/>
      <c r="E13" s="555"/>
      <c r="F13" s="555"/>
    </row>
    <row r="14" spans="1:9" ht="60" x14ac:dyDescent="0.25">
      <c r="A14" s="573" t="s">
        <v>296</v>
      </c>
      <c r="B14" s="573"/>
      <c r="C14" s="561" t="s">
        <v>297</v>
      </c>
      <c r="D14" s="574">
        <v>100000</v>
      </c>
      <c r="E14" s="575">
        <v>300</v>
      </c>
      <c r="F14" s="561" t="s">
        <v>298</v>
      </c>
    </row>
    <row r="15" spans="1:9" ht="60" x14ac:dyDescent="0.25">
      <c r="A15" s="573" t="s">
        <v>296</v>
      </c>
      <c r="B15" s="573"/>
      <c r="C15" s="561" t="s">
        <v>299</v>
      </c>
      <c r="D15" s="574">
        <v>100000</v>
      </c>
      <c r="E15" s="575">
        <f>ROUND(0.65*CONVERT(D15,"lbm","g")/1000/1000,0)</f>
        <v>29</v>
      </c>
      <c r="F15" s="561" t="s">
        <v>300</v>
      </c>
    </row>
    <row r="16" spans="1:9" x14ac:dyDescent="0.25">
      <c r="A16" s="555" t="s">
        <v>301</v>
      </c>
      <c r="B16" s="555"/>
      <c r="C16" s="555"/>
      <c r="D16" s="555"/>
      <c r="E16" s="555"/>
      <c r="F16" s="555"/>
    </row>
    <row r="17" spans="1:6" ht="60" x14ac:dyDescent="0.25">
      <c r="A17" s="573" t="s">
        <v>296</v>
      </c>
      <c r="B17" s="573"/>
      <c r="C17" s="561" t="s">
        <v>302</v>
      </c>
      <c r="D17" s="574">
        <v>50000</v>
      </c>
      <c r="E17" s="575">
        <f>E14/D14*D17</f>
        <v>150</v>
      </c>
      <c r="F17" s="561" t="s">
        <v>298</v>
      </c>
    </row>
    <row r="18" spans="1:6" ht="60" x14ac:dyDescent="0.25">
      <c r="A18" s="573" t="s">
        <v>296</v>
      </c>
      <c r="B18" s="573"/>
      <c r="C18" s="561" t="s">
        <v>303</v>
      </c>
      <c r="D18" s="574">
        <v>50000</v>
      </c>
      <c r="E18" s="575">
        <f>ROUND(0.65*CONVERT(D18,"lbm","g")/1000/1000,0)</f>
        <v>15</v>
      </c>
      <c r="F18" s="561" t="s">
        <v>300</v>
      </c>
    </row>
    <row r="19" spans="1:6" x14ac:dyDescent="0.25">
      <c r="A19" s="555" t="s">
        <v>304</v>
      </c>
      <c r="B19" s="555"/>
      <c r="C19" s="555"/>
      <c r="D19" s="555"/>
      <c r="E19" s="555"/>
      <c r="F19" s="555"/>
    </row>
    <row r="20" spans="1:6" ht="60" x14ac:dyDescent="0.25">
      <c r="A20" s="576" t="s">
        <v>296</v>
      </c>
      <c r="B20" s="577"/>
      <c r="C20" s="561" t="s">
        <v>305</v>
      </c>
      <c r="D20" s="574">
        <v>25000</v>
      </c>
      <c r="E20" s="575">
        <f>E14/D14*D20</f>
        <v>75</v>
      </c>
      <c r="F20" s="561" t="s">
        <v>298</v>
      </c>
    </row>
    <row r="21" spans="1:6" ht="60" x14ac:dyDescent="0.25">
      <c r="A21" s="576" t="s">
        <v>296</v>
      </c>
      <c r="B21" s="577"/>
      <c r="C21" s="561" t="s">
        <v>306</v>
      </c>
      <c r="D21" s="578">
        <v>25000</v>
      </c>
      <c r="E21" s="575">
        <f>ROUND(0.65*CONVERT(D21,"lbm","g")/1000/1000,0)</f>
        <v>7</v>
      </c>
      <c r="F21" s="561" t="s">
        <v>300</v>
      </c>
    </row>
  </sheetData>
  <sheetProtection algorithmName="SHA-512" hashValue="W3mqMBk4r2yARBQ/x9+0uloLTtqYI1ajpO2fbJFJo440lJs3HAGjoi3vwHYEt8tnpQ1+KlDr3u1lufuurRsQ9g==" saltValue="TmT2cF3fCv6fU8AZKvY2tg==" spinCount="100000" sheet="1" objects="1" scenarios="1"/>
  <mergeCells count="16">
    <mergeCell ref="A10:E10"/>
    <mergeCell ref="F10:F12"/>
    <mergeCell ref="A20:B20"/>
    <mergeCell ref="A21:B21"/>
    <mergeCell ref="G3:I3"/>
    <mergeCell ref="A14:B14"/>
    <mergeCell ref="A15:B15"/>
    <mergeCell ref="A17:B17"/>
    <mergeCell ref="A18:B18"/>
    <mergeCell ref="A13:F13"/>
    <mergeCell ref="A16:F16"/>
    <mergeCell ref="A19:F19"/>
    <mergeCell ref="A11:C11"/>
    <mergeCell ref="B4:C4"/>
    <mergeCell ref="A3:E3"/>
    <mergeCell ref="D11:E11"/>
  </mergeCells>
  <phoneticPr fontId="8" type="noConversion"/>
  <pageMargins left="0.7" right="0.7" top="0.75" bottom="0.75" header="0.3" footer="0.3"/>
  <pageSetup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1A00CA-FF03-4C22-AA54-51BE8E70C43A}">
  <sheetPr codeName="Sheet8"/>
  <dimension ref="A1:G25"/>
  <sheetViews>
    <sheetView zoomScaleNormal="100" workbookViewId="0"/>
  </sheetViews>
  <sheetFormatPr defaultRowHeight="15" x14ac:dyDescent="0.25"/>
  <cols>
    <col min="1" max="1" width="17.140625" style="125" customWidth="1"/>
    <col min="2" max="2" width="22" style="125" bestFit="1" customWidth="1"/>
    <col min="3" max="3" width="37" style="125" customWidth="1"/>
    <col min="4" max="4" width="25.85546875" style="125" customWidth="1"/>
    <col min="5" max="6" width="31.42578125" style="125" customWidth="1"/>
    <col min="7" max="7" width="59" style="125" customWidth="1"/>
    <col min="8" max="8" width="9.140625" style="125"/>
    <col min="9" max="9" width="14.28515625" style="125" customWidth="1"/>
    <col min="10" max="16384" width="9.140625" style="125"/>
  </cols>
  <sheetData>
    <row r="1" spans="1:6" s="487" customFormat="1" x14ac:dyDescent="0.25">
      <c r="A1" s="125" t="s">
        <v>307</v>
      </c>
    </row>
    <row r="2" spans="1:6" x14ac:dyDescent="0.25">
      <c r="F2" s="579"/>
    </row>
    <row r="3" spans="1:6" x14ac:dyDescent="0.25">
      <c r="A3" s="168" t="s">
        <v>308</v>
      </c>
      <c r="B3" s="168"/>
      <c r="C3" s="168"/>
      <c r="D3" s="168"/>
      <c r="E3" s="168"/>
      <c r="F3" s="168"/>
    </row>
    <row r="4" spans="1:6" x14ac:dyDescent="0.25">
      <c r="A4" s="580" t="s">
        <v>309</v>
      </c>
      <c r="B4" s="581" t="s">
        <v>310</v>
      </c>
      <c r="C4" s="581" t="s">
        <v>311</v>
      </c>
      <c r="D4" s="582" t="s">
        <v>312</v>
      </c>
      <c r="E4" s="583"/>
      <c r="F4" s="168" t="s">
        <v>292</v>
      </c>
    </row>
    <row r="5" spans="1:6" x14ac:dyDescent="0.25">
      <c r="A5" s="584"/>
      <c r="B5" s="176" t="s">
        <v>313</v>
      </c>
      <c r="C5" s="176" t="s">
        <v>313</v>
      </c>
      <c r="D5" s="585"/>
      <c r="E5" s="586"/>
      <c r="F5" s="168"/>
    </row>
    <row r="6" spans="1:6" ht="15" customHeight="1" x14ac:dyDescent="0.25">
      <c r="A6" s="587" t="s">
        <v>314</v>
      </c>
      <c r="B6" s="202">
        <v>0.12</v>
      </c>
      <c r="C6" s="202">
        <v>2.6</v>
      </c>
      <c r="D6" s="588" t="s">
        <v>315</v>
      </c>
      <c r="E6" s="589"/>
      <c r="F6" s="590" t="s">
        <v>316</v>
      </c>
    </row>
    <row r="7" spans="1:6" ht="23.25" customHeight="1" x14ac:dyDescent="0.25">
      <c r="A7" s="587" t="s">
        <v>317</v>
      </c>
      <c r="B7" s="202">
        <v>0.27</v>
      </c>
      <c r="C7" s="202">
        <v>1.2</v>
      </c>
      <c r="D7" s="591"/>
      <c r="E7" s="592"/>
      <c r="F7" s="590"/>
    </row>
    <row r="8" spans="1:6" ht="29.25" customHeight="1" x14ac:dyDescent="0.25">
      <c r="A8" s="587" t="s">
        <v>318</v>
      </c>
      <c r="B8" s="202">
        <v>37</v>
      </c>
      <c r="C8" s="202">
        <v>3.3</v>
      </c>
      <c r="D8" s="593"/>
      <c r="E8" s="594"/>
      <c r="F8" s="590"/>
    </row>
    <row r="9" spans="1:6" x14ac:dyDescent="0.25">
      <c r="B9" s="595"/>
      <c r="C9" s="595"/>
    </row>
    <row r="10" spans="1:6" x14ac:dyDescent="0.25">
      <c r="B10" s="168" t="s">
        <v>319</v>
      </c>
      <c r="C10" s="168"/>
      <c r="D10" s="580" t="s">
        <v>292</v>
      </c>
    </row>
    <row r="11" spans="1:6" x14ac:dyDescent="0.25">
      <c r="B11" s="596" t="s">
        <v>320</v>
      </c>
      <c r="C11" s="596" t="s">
        <v>321</v>
      </c>
      <c r="D11" s="584"/>
    </row>
    <row r="12" spans="1:6" x14ac:dyDescent="0.25">
      <c r="B12" s="597" t="s">
        <v>322</v>
      </c>
      <c r="C12" s="203">
        <v>1160000</v>
      </c>
      <c r="D12" s="202" t="s">
        <v>316</v>
      </c>
    </row>
    <row r="14" spans="1:6" x14ac:dyDescent="0.25">
      <c r="B14" s="598" t="s">
        <v>323</v>
      </c>
      <c r="C14" s="599"/>
      <c r="D14" s="580" t="s">
        <v>324</v>
      </c>
    </row>
    <row r="15" spans="1:6" x14ac:dyDescent="0.25">
      <c r="B15" s="581" t="s">
        <v>109</v>
      </c>
      <c r="C15" s="581" t="s">
        <v>325</v>
      </c>
      <c r="D15" s="584"/>
    </row>
    <row r="16" spans="1:6" ht="45" x14ac:dyDescent="0.25">
      <c r="B16" s="321">
        <f>SUM(B6:B8)/C12</f>
        <v>3.2232758620689656E-5</v>
      </c>
      <c r="C16" s="321">
        <f>SUM(C6:C8)/C12</f>
        <v>6.1206896551724135E-6</v>
      </c>
      <c r="D16" s="561" t="s">
        <v>326</v>
      </c>
      <c r="F16" s="139"/>
    </row>
    <row r="17" spans="1:7" ht="45" x14ac:dyDescent="0.25">
      <c r="B17" s="321">
        <v>7.4200000000000001E-5</v>
      </c>
      <c r="C17" s="321">
        <v>7.3100000000000003E-6</v>
      </c>
      <c r="D17" s="561" t="s">
        <v>327</v>
      </c>
    </row>
    <row r="21" spans="1:7" x14ac:dyDescent="0.25">
      <c r="A21" s="567" t="s">
        <v>286</v>
      </c>
      <c r="B21" s="568"/>
      <c r="C21" s="568"/>
      <c r="D21" s="568"/>
      <c r="E21" s="569"/>
      <c r="F21" s="570" t="s">
        <v>287</v>
      </c>
    </row>
    <row r="22" spans="1:7" x14ac:dyDescent="0.25">
      <c r="A22" s="555" t="s">
        <v>288</v>
      </c>
      <c r="B22" s="555"/>
      <c r="C22" s="555"/>
      <c r="D22" s="567" t="s">
        <v>289</v>
      </c>
      <c r="E22" s="569"/>
      <c r="F22" s="571"/>
    </row>
    <row r="23" spans="1:7" ht="29.25" x14ac:dyDescent="0.25">
      <c r="A23" s="548" t="s">
        <v>290</v>
      </c>
      <c r="B23" s="548" t="s">
        <v>291</v>
      </c>
      <c r="C23" s="548" t="s">
        <v>292</v>
      </c>
      <c r="D23" s="548" t="s">
        <v>293</v>
      </c>
      <c r="E23" s="548" t="s">
        <v>294</v>
      </c>
      <c r="F23" s="572"/>
      <c r="G23" s="600"/>
    </row>
    <row r="24" spans="1:7" ht="75" x14ac:dyDescent="0.25">
      <c r="A24" s="573" t="s">
        <v>296</v>
      </c>
      <c r="B24" s="573"/>
      <c r="C24" s="561" t="s">
        <v>328</v>
      </c>
      <c r="D24" s="574" t="s">
        <v>329</v>
      </c>
      <c r="E24" s="601">
        <v>60</v>
      </c>
      <c r="F24" s="561" t="s">
        <v>298</v>
      </c>
    </row>
    <row r="25" spans="1:7" ht="52.5" customHeight="1" x14ac:dyDescent="0.25">
      <c r="A25" s="573" t="s">
        <v>330</v>
      </c>
      <c r="B25" s="573"/>
      <c r="C25" s="561" t="s">
        <v>898</v>
      </c>
      <c r="D25" s="561" t="s">
        <v>331</v>
      </c>
      <c r="E25" s="339">
        <v>10</v>
      </c>
      <c r="F25" s="202" t="s">
        <v>300</v>
      </c>
    </row>
  </sheetData>
  <sheetProtection algorithmName="SHA-512" hashValue="ZKa4sNUTYJxMKTlTrqlMq0ylqRTNWBNw8XTZPLNWR1ccMjzpTK869UpmaiTkObDaCETvxx2RYT50pfy978IX5w==" saltValue="Vp8gMZln4a+Z1rUTqU3k6A==" spinCount="100000" sheet="1" objects="1" scenarios="1"/>
  <mergeCells count="16">
    <mergeCell ref="A24:B24"/>
    <mergeCell ref="A25:B25"/>
    <mergeCell ref="D14:D15"/>
    <mergeCell ref="A3:F3"/>
    <mergeCell ref="B14:C14"/>
    <mergeCell ref="B10:C10"/>
    <mergeCell ref="D10:D11"/>
    <mergeCell ref="D6:E8"/>
    <mergeCell ref="D4:E5"/>
    <mergeCell ref="A4:A5"/>
    <mergeCell ref="A22:C22"/>
    <mergeCell ref="F4:F5"/>
    <mergeCell ref="F6:F8"/>
    <mergeCell ref="A21:E21"/>
    <mergeCell ref="F21:F23"/>
    <mergeCell ref="D22:E22"/>
  </mergeCells>
  <pageMargins left="0.7" right="0.7" top="0.75" bottom="0.75" header="0.3" footer="0.3"/>
  <pageSetup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A27F48-1164-468B-8BC1-D49003BABE7D}">
  <sheetPr codeName="Sheet9"/>
  <dimension ref="A1:I29"/>
  <sheetViews>
    <sheetView workbookViewId="0">
      <selection activeCell="A3" sqref="A3"/>
    </sheetView>
  </sheetViews>
  <sheetFormatPr defaultRowHeight="15" x14ac:dyDescent="0.25"/>
  <cols>
    <col min="1" max="1" width="25" style="125" bestFit="1" customWidth="1"/>
    <col min="2" max="2" width="43.85546875" style="125" bestFit="1" customWidth="1"/>
    <col min="3" max="3" width="33.42578125" style="125" customWidth="1"/>
    <col min="4" max="4" width="25.42578125" style="487" customWidth="1"/>
    <col min="5" max="5" width="27.5703125" style="487" customWidth="1"/>
    <col min="6" max="6" width="20.7109375" style="487" customWidth="1"/>
    <col min="7" max="7" width="12" style="125" bestFit="1" customWidth="1"/>
    <col min="8" max="8" width="9.140625" style="125"/>
    <col min="9" max="9" width="13.7109375" style="125" customWidth="1"/>
    <col min="10" max="16384" width="9.140625" style="125"/>
  </cols>
  <sheetData>
    <row r="1" spans="1:9" s="487" customFormat="1" x14ac:dyDescent="0.25">
      <c r="A1" s="125" t="s">
        <v>332</v>
      </c>
    </row>
    <row r="2" spans="1:9" x14ac:dyDescent="0.25">
      <c r="A2" s="150"/>
    </row>
    <row r="3" spans="1:9" x14ac:dyDescent="0.25">
      <c r="E3" s="602"/>
      <c r="G3" s="139"/>
      <c r="I3" s="579"/>
    </row>
    <row r="4" spans="1:9" x14ac:dyDescent="0.25">
      <c r="A4" s="168" t="s">
        <v>308</v>
      </c>
      <c r="B4" s="168"/>
      <c r="C4" s="168"/>
      <c r="D4" s="168"/>
      <c r="E4" s="168"/>
      <c r="F4" s="168"/>
    </row>
    <row r="5" spans="1:9" ht="15" customHeight="1" x14ac:dyDescent="0.25">
      <c r="A5" s="580" t="s">
        <v>309</v>
      </c>
      <c r="B5" s="603" t="s">
        <v>333</v>
      </c>
      <c r="C5" s="603" t="s">
        <v>311</v>
      </c>
      <c r="D5" s="604" t="s">
        <v>312</v>
      </c>
      <c r="E5" s="605"/>
      <c r="F5" s="168" t="s">
        <v>292</v>
      </c>
    </row>
    <row r="6" spans="1:9" x14ac:dyDescent="0.25">
      <c r="A6" s="584"/>
      <c r="B6" s="176" t="s">
        <v>313</v>
      </c>
      <c r="C6" s="176" t="s">
        <v>313</v>
      </c>
      <c r="D6" s="606"/>
      <c r="E6" s="607"/>
      <c r="F6" s="168"/>
    </row>
    <row r="7" spans="1:9" ht="18.75" customHeight="1" x14ac:dyDescent="0.25">
      <c r="A7" s="587" t="s">
        <v>314</v>
      </c>
      <c r="B7" s="202">
        <v>2.2000000000000002</v>
      </c>
      <c r="C7" s="202">
        <v>0.31</v>
      </c>
      <c r="D7" s="588" t="s">
        <v>334</v>
      </c>
      <c r="E7" s="589"/>
      <c r="F7" s="590" t="s">
        <v>316</v>
      </c>
    </row>
    <row r="8" spans="1:9" ht="28.5" customHeight="1" x14ac:dyDescent="0.25">
      <c r="A8" s="587" t="s">
        <v>317</v>
      </c>
      <c r="B8" s="202">
        <v>0</v>
      </c>
      <c r="C8" s="202">
        <v>18</v>
      </c>
      <c r="D8" s="591"/>
      <c r="E8" s="592"/>
      <c r="F8" s="590"/>
    </row>
    <row r="9" spans="1:9" ht="24" customHeight="1" x14ac:dyDescent="0.25">
      <c r="A9" s="587" t="s">
        <v>318</v>
      </c>
      <c r="B9" s="202">
        <v>1.3</v>
      </c>
      <c r="C9" s="202">
        <v>14</v>
      </c>
      <c r="D9" s="591"/>
      <c r="E9" s="592"/>
      <c r="F9" s="590"/>
    </row>
    <row r="10" spans="1:9" ht="21.75" customHeight="1" x14ac:dyDescent="0.25">
      <c r="A10" s="587" t="s">
        <v>335</v>
      </c>
      <c r="B10" s="202">
        <v>4.2</v>
      </c>
      <c r="C10" s="202">
        <v>9.3000000000000007</v>
      </c>
      <c r="D10" s="593"/>
      <c r="E10" s="594"/>
      <c r="F10" s="590"/>
    </row>
    <row r="11" spans="1:9" ht="60" customHeight="1" x14ac:dyDescent="0.25">
      <c r="A11" s="608" t="s">
        <v>336</v>
      </c>
      <c r="B11" s="202">
        <f>21.3+5.3</f>
        <v>26.6</v>
      </c>
      <c r="C11" s="202">
        <v>58.6</v>
      </c>
      <c r="D11" s="576" t="s">
        <v>337</v>
      </c>
      <c r="E11" s="577"/>
      <c r="F11" s="590"/>
    </row>
    <row r="12" spans="1:9" x14ac:dyDescent="0.25">
      <c r="A12" s="609"/>
      <c r="B12" s="157"/>
      <c r="C12" s="157"/>
      <c r="D12" s="610"/>
      <c r="E12" s="610"/>
      <c r="F12" s="611"/>
    </row>
    <row r="13" spans="1:9" x14ac:dyDescent="0.25">
      <c r="A13" s="609"/>
      <c r="B13" s="168" t="s">
        <v>319</v>
      </c>
      <c r="C13" s="168"/>
      <c r="D13" s="555" t="s">
        <v>292</v>
      </c>
      <c r="E13" s="610"/>
      <c r="F13" s="611"/>
    </row>
    <row r="14" spans="1:9" x14ac:dyDescent="0.25">
      <c r="A14" s="609"/>
      <c r="B14" s="596" t="s">
        <v>320</v>
      </c>
      <c r="C14" s="603" t="s">
        <v>338</v>
      </c>
      <c r="D14" s="555"/>
      <c r="E14" s="610"/>
      <c r="F14" s="611"/>
    </row>
    <row r="15" spans="1:9" x14ac:dyDescent="0.25">
      <c r="A15" s="609"/>
      <c r="B15" s="587" t="s">
        <v>339</v>
      </c>
      <c r="C15" s="203">
        <v>719000</v>
      </c>
      <c r="D15" s="573" t="s">
        <v>316</v>
      </c>
      <c r="E15" s="610"/>
      <c r="F15" s="611"/>
    </row>
    <row r="16" spans="1:9" x14ac:dyDescent="0.25">
      <c r="B16" s="587" t="s">
        <v>340</v>
      </c>
      <c r="C16" s="203">
        <v>1011000</v>
      </c>
      <c r="D16" s="573"/>
    </row>
    <row r="17" spans="1:7" x14ac:dyDescent="0.25">
      <c r="A17" s="150"/>
    </row>
    <row r="18" spans="1:7" x14ac:dyDescent="0.25">
      <c r="B18" s="598" t="s">
        <v>323</v>
      </c>
      <c r="C18" s="599"/>
      <c r="D18" s="570" t="s">
        <v>324</v>
      </c>
    </row>
    <row r="19" spans="1:7" x14ac:dyDescent="0.25">
      <c r="B19" s="581" t="s">
        <v>109</v>
      </c>
      <c r="C19" s="581" t="s">
        <v>325</v>
      </c>
      <c r="D19" s="572"/>
    </row>
    <row r="20" spans="1:7" ht="45" x14ac:dyDescent="0.25">
      <c r="B20" s="612">
        <f>SUM(B7:B10)/C15</f>
        <v>1.070931849791377E-5</v>
      </c>
      <c r="C20" s="612">
        <f>SUM(C7:C10)/C15</f>
        <v>5.7872044506258695E-5</v>
      </c>
      <c r="D20" s="561" t="s">
        <v>341</v>
      </c>
      <c r="G20" s="139"/>
    </row>
    <row r="21" spans="1:7" ht="75" x14ac:dyDescent="0.25">
      <c r="B21" s="612">
        <f>B11/C16</f>
        <v>2.6310583580613257E-5</v>
      </c>
      <c r="C21" s="612">
        <f>C11/C16</f>
        <v>5.7962413452027699E-5</v>
      </c>
      <c r="D21" s="561" t="s">
        <v>342</v>
      </c>
    </row>
    <row r="24" spans="1:7" x14ac:dyDescent="0.25">
      <c r="A24" s="567" t="s">
        <v>286</v>
      </c>
      <c r="B24" s="568"/>
      <c r="C24" s="568"/>
      <c r="D24" s="568"/>
      <c r="E24" s="569"/>
      <c r="F24" s="570" t="s">
        <v>287</v>
      </c>
    </row>
    <row r="25" spans="1:7" ht="15" customHeight="1" x14ac:dyDescent="0.25">
      <c r="A25" s="555" t="s">
        <v>288</v>
      </c>
      <c r="B25" s="555"/>
      <c r="C25" s="555"/>
      <c r="D25" s="567" t="s">
        <v>289</v>
      </c>
      <c r="E25" s="569"/>
      <c r="F25" s="571"/>
    </row>
    <row r="26" spans="1:7" ht="29.25" x14ac:dyDescent="0.25">
      <c r="A26" s="548" t="s">
        <v>290</v>
      </c>
      <c r="B26" s="548" t="s">
        <v>291</v>
      </c>
      <c r="C26" s="548" t="s">
        <v>292</v>
      </c>
      <c r="D26" s="548" t="s">
        <v>293</v>
      </c>
      <c r="E26" s="548" t="s">
        <v>294</v>
      </c>
      <c r="F26" s="572"/>
    </row>
    <row r="27" spans="1:7" ht="45" x14ac:dyDescent="0.25">
      <c r="A27" s="202">
        <v>15</v>
      </c>
      <c r="B27" s="613" t="s">
        <v>343</v>
      </c>
      <c r="C27" s="561" t="s">
        <v>344</v>
      </c>
      <c r="D27" s="574" t="s">
        <v>331</v>
      </c>
      <c r="E27" s="575">
        <f>A27</f>
        <v>15</v>
      </c>
      <c r="F27" s="561" t="s">
        <v>345</v>
      </c>
    </row>
    <row r="28" spans="1:7" ht="60" x14ac:dyDescent="0.25">
      <c r="A28" s="202">
        <v>1</v>
      </c>
      <c r="B28" s="613" t="s">
        <v>343</v>
      </c>
      <c r="C28" s="561" t="s">
        <v>344</v>
      </c>
      <c r="D28" s="574" t="s">
        <v>331</v>
      </c>
      <c r="E28" s="575">
        <f>A28</f>
        <v>1</v>
      </c>
      <c r="F28" s="561" t="s">
        <v>346</v>
      </c>
    </row>
    <row r="29" spans="1:7" ht="75" x14ac:dyDescent="0.25">
      <c r="A29" s="573" t="s">
        <v>296</v>
      </c>
      <c r="B29" s="573"/>
      <c r="C29" s="561" t="s">
        <v>347</v>
      </c>
      <c r="D29" s="574" t="s">
        <v>329</v>
      </c>
      <c r="E29" s="575">
        <f>ROUND(0.35*45.4,0)</f>
        <v>16</v>
      </c>
      <c r="F29" s="561" t="s">
        <v>348</v>
      </c>
    </row>
  </sheetData>
  <sheetProtection algorithmName="SHA-512" hashValue="UsAudWDHxBRRyYTW2eFnxX0lr1SOZIh9haxGkTMqBQTdgaYeiY7k6fcGK0IfnvgAVpmWtKtv07aqgrdZ2JmmOg==" saltValue="OupauO0AJi2QSXLmToY9YQ==" spinCount="100000" sheet="1" objects="1" scenarios="1"/>
  <mergeCells count="17">
    <mergeCell ref="A24:E24"/>
    <mergeCell ref="F24:F26"/>
    <mergeCell ref="D25:E25"/>
    <mergeCell ref="A29:B29"/>
    <mergeCell ref="A25:C25"/>
    <mergeCell ref="A4:F4"/>
    <mergeCell ref="B13:C13"/>
    <mergeCell ref="D15:D16"/>
    <mergeCell ref="D13:D14"/>
    <mergeCell ref="D18:D19"/>
    <mergeCell ref="A5:A6"/>
    <mergeCell ref="D5:E6"/>
    <mergeCell ref="D7:E10"/>
    <mergeCell ref="D11:E11"/>
    <mergeCell ref="B18:C18"/>
    <mergeCell ref="F5:F6"/>
    <mergeCell ref="F7:F11"/>
  </mergeCells>
  <pageMargins left="0.7" right="0.7" top="0.75" bottom="0.75" header="0.3" footer="0.3"/>
  <pageSetup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244663-4B43-4CAD-A07C-E3B00C29B837}">
  <sheetPr codeName="Sheet10"/>
  <dimension ref="A1:J41"/>
  <sheetViews>
    <sheetView workbookViewId="0">
      <selection activeCell="A2" sqref="A2"/>
    </sheetView>
  </sheetViews>
  <sheetFormatPr defaultRowHeight="15" x14ac:dyDescent="0.25"/>
  <cols>
    <col min="1" max="1" width="13.28515625" style="125" customWidth="1"/>
    <col min="2" max="2" width="43.85546875" style="125" bestFit="1" customWidth="1"/>
    <col min="3" max="3" width="24.5703125" style="125" customWidth="1"/>
    <col min="4" max="4" width="23.140625" style="125" customWidth="1"/>
    <col min="5" max="5" width="21.42578125" style="125" bestFit="1" customWidth="1"/>
    <col min="6" max="6" width="18.85546875" style="125" customWidth="1"/>
    <col min="7" max="7" width="27.140625" style="125" customWidth="1"/>
    <col min="8" max="9" width="9.140625" style="125"/>
    <col min="10" max="10" width="11.5703125" style="125" bestFit="1" customWidth="1"/>
    <col min="11" max="16384" width="9.140625" style="125"/>
  </cols>
  <sheetData>
    <row r="1" spans="1:10" s="487" customFormat="1" x14ac:dyDescent="0.25">
      <c r="A1" s="125" t="s">
        <v>349</v>
      </c>
    </row>
    <row r="2" spans="1:10" x14ac:dyDescent="0.25">
      <c r="A2" s="150"/>
      <c r="D2" s="614"/>
      <c r="E2" s="150"/>
      <c r="F2" s="150"/>
      <c r="G2" s="150"/>
      <c r="H2" s="150"/>
    </row>
    <row r="3" spans="1:10" x14ac:dyDescent="0.25">
      <c r="B3" s="150"/>
      <c r="E3" s="579"/>
      <c r="G3" s="139"/>
      <c r="H3" s="139"/>
    </row>
    <row r="4" spans="1:10" x14ac:dyDescent="0.25">
      <c r="A4" s="615" t="s">
        <v>308</v>
      </c>
      <c r="B4" s="616"/>
      <c r="C4" s="616"/>
      <c r="D4" s="616"/>
      <c r="E4" s="617"/>
      <c r="G4" s="139"/>
      <c r="H4" s="139"/>
    </row>
    <row r="5" spans="1:10" x14ac:dyDescent="0.25">
      <c r="A5" s="168" t="s">
        <v>309</v>
      </c>
      <c r="B5" s="603" t="s">
        <v>350</v>
      </c>
      <c r="C5" s="603" t="s">
        <v>311</v>
      </c>
      <c r="D5" s="168" t="s">
        <v>312</v>
      </c>
      <c r="E5" s="168" t="s">
        <v>292</v>
      </c>
      <c r="G5" s="139"/>
      <c r="H5" s="139"/>
    </row>
    <row r="6" spans="1:10" x14ac:dyDescent="0.25">
      <c r="A6" s="168"/>
      <c r="B6" s="603" t="s">
        <v>313</v>
      </c>
      <c r="C6" s="603" t="s">
        <v>313</v>
      </c>
      <c r="D6" s="168"/>
      <c r="E6" s="168"/>
    </row>
    <row r="7" spans="1:10" ht="15" customHeight="1" x14ac:dyDescent="0.25">
      <c r="A7" s="587" t="s">
        <v>314</v>
      </c>
      <c r="B7" s="202">
        <v>4.4000000000000004</v>
      </c>
      <c r="C7" s="202">
        <v>1.5</v>
      </c>
      <c r="D7" s="287" t="s">
        <v>351</v>
      </c>
      <c r="E7" s="287" t="s">
        <v>316</v>
      </c>
    </row>
    <row r="8" spans="1:10" x14ac:dyDescent="0.25">
      <c r="A8" s="587" t="s">
        <v>317</v>
      </c>
      <c r="B8" s="202">
        <v>1.2</v>
      </c>
      <c r="C8" s="202">
        <v>1.4</v>
      </c>
      <c r="D8" s="287"/>
      <c r="E8" s="287"/>
    </row>
    <row r="9" spans="1:10" x14ac:dyDescent="0.25">
      <c r="A9" s="587" t="s">
        <v>318</v>
      </c>
      <c r="B9" s="202">
        <v>5.5E-2</v>
      </c>
      <c r="C9" s="202">
        <v>3.7</v>
      </c>
      <c r="D9" s="287"/>
      <c r="E9" s="287"/>
    </row>
    <row r="10" spans="1:10" x14ac:dyDescent="0.25">
      <c r="A10" s="587" t="s">
        <v>335</v>
      </c>
      <c r="B10" s="202">
        <v>3.7</v>
      </c>
      <c r="C10" s="202">
        <v>1.5</v>
      </c>
      <c r="D10" s="287"/>
      <c r="E10" s="287"/>
    </row>
    <row r="11" spans="1:10" x14ac:dyDescent="0.25">
      <c r="A11" s="587" t="s">
        <v>352</v>
      </c>
      <c r="B11" s="202">
        <v>2.3999999999999998E-3</v>
      </c>
      <c r="C11" s="202">
        <v>1.1000000000000001</v>
      </c>
      <c r="D11" s="287"/>
      <c r="E11" s="287"/>
    </row>
    <row r="12" spans="1:10" x14ac:dyDescent="0.25">
      <c r="A12" s="587" t="s">
        <v>353</v>
      </c>
      <c r="B12" s="202">
        <v>0</v>
      </c>
      <c r="C12" s="202">
        <v>0.73</v>
      </c>
      <c r="D12" s="287"/>
      <c r="E12" s="287"/>
    </row>
    <row r="13" spans="1:10" x14ac:dyDescent="0.25">
      <c r="A13" s="587" t="s">
        <v>354</v>
      </c>
      <c r="B13" s="202">
        <v>6</v>
      </c>
      <c r="C13" s="202">
        <v>0.54</v>
      </c>
      <c r="D13" s="287"/>
      <c r="E13" s="287"/>
    </row>
    <row r="14" spans="1:10" x14ac:dyDescent="0.25">
      <c r="A14" s="587" t="s">
        <v>355</v>
      </c>
      <c r="B14" s="202">
        <v>2.8999999999999998E-3</v>
      </c>
      <c r="C14" s="202">
        <v>0.7</v>
      </c>
      <c r="D14" s="287"/>
      <c r="E14" s="287"/>
      <c r="J14" s="147"/>
    </row>
    <row r="15" spans="1:10" x14ac:dyDescent="0.25">
      <c r="A15" s="587" t="s">
        <v>356</v>
      </c>
      <c r="B15" s="202">
        <v>1.9E-3</v>
      </c>
      <c r="C15" s="202">
        <v>0.15</v>
      </c>
      <c r="D15" s="287"/>
      <c r="E15" s="287"/>
      <c r="J15" s="139"/>
    </row>
    <row r="16" spans="1:10" x14ac:dyDescent="0.25">
      <c r="A16" s="587" t="s">
        <v>357</v>
      </c>
      <c r="B16" s="202">
        <v>0</v>
      </c>
      <c r="C16" s="202">
        <v>0.4</v>
      </c>
      <c r="D16" s="287"/>
      <c r="E16" s="287"/>
    </row>
    <row r="17" spans="1:7" x14ac:dyDescent="0.25">
      <c r="A17" s="587" t="s">
        <v>358</v>
      </c>
      <c r="B17" s="202">
        <v>0</v>
      </c>
      <c r="C17" s="202">
        <v>1.8</v>
      </c>
      <c r="D17" s="287"/>
      <c r="E17" s="287"/>
    </row>
    <row r="18" spans="1:7" x14ac:dyDescent="0.25">
      <c r="A18" s="587" t="s">
        <v>359</v>
      </c>
      <c r="B18" s="202">
        <v>0</v>
      </c>
      <c r="C18" s="202">
        <v>1.8</v>
      </c>
      <c r="D18" s="287"/>
      <c r="E18" s="287"/>
    </row>
    <row r="19" spans="1:7" x14ac:dyDescent="0.25">
      <c r="A19" s="587" t="s">
        <v>360</v>
      </c>
      <c r="B19" s="202">
        <v>0.11</v>
      </c>
      <c r="C19" s="202">
        <v>1.2</v>
      </c>
      <c r="D19" s="287"/>
      <c r="E19" s="287"/>
    </row>
    <row r="20" spans="1:7" x14ac:dyDescent="0.25">
      <c r="A20" s="587" t="s">
        <v>361</v>
      </c>
      <c r="B20" s="202">
        <v>15</v>
      </c>
      <c r="C20" s="202">
        <v>1.5</v>
      </c>
      <c r="D20" s="287"/>
      <c r="E20" s="287"/>
    </row>
    <row r="21" spans="1:7" x14ac:dyDescent="0.25">
      <c r="A21" s="587" t="s">
        <v>362</v>
      </c>
      <c r="B21" s="202">
        <v>4.0000000000000003E-5</v>
      </c>
      <c r="C21" s="202">
        <v>0.59</v>
      </c>
      <c r="D21" s="287"/>
      <c r="E21" s="287"/>
    </row>
    <row r="22" spans="1:7" x14ac:dyDescent="0.25">
      <c r="A22" s="587" t="s">
        <v>363</v>
      </c>
      <c r="B22" s="202">
        <v>4.0000000000000002E-4</v>
      </c>
      <c r="C22" s="202">
        <v>0.91</v>
      </c>
      <c r="D22" s="287"/>
      <c r="E22" s="287"/>
    </row>
    <row r="23" spans="1:7" x14ac:dyDescent="0.25">
      <c r="A23" s="587" t="s">
        <v>364</v>
      </c>
      <c r="B23" s="202">
        <v>2.1000000000000001E-2</v>
      </c>
      <c r="C23" s="202">
        <v>3.8</v>
      </c>
      <c r="D23" s="287"/>
      <c r="E23" s="287"/>
    </row>
    <row r="24" spans="1:7" x14ac:dyDescent="0.25">
      <c r="A24" s="587" t="s">
        <v>365</v>
      </c>
      <c r="B24" s="202">
        <v>2.5</v>
      </c>
      <c r="C24" s="202">
        <v>0.23</v>
      </c>
      <c r="D24" s="287"/>
      <c r="E24" s="287"/>
    </row>
    <row r="25" spans="1:7" x14ac:dyDescent="0.25">
      <c r="A25" s="618"/>
      <c r="B25" s="157"/>
      <c r="C25" s="157"/>
      <c r="D25" s="619"/>
      <c r="E25" s="620"/>
      <c r="G25" s="621"/>
    </row>
    <row r="26" spans="1:7" x14ac:dyDescent="0.25">
      <c r="A26" s="618"/>
      <c r="B26" s="168" t="s">
        <v>319</v>
      </c>
      <c r="C26" s="168"/>
      <c r="D26" s="555" t="s">
        <v>292</v>
      </c>
      <c r="E26" s="620"/>
      <c r="G26" s="621"/>
    </row>
    <row r="27" spans="1:7" x14ac:dyDescent="0.25">
      <c r="A27" s="618"/>
      <c r="B27" s="596" t="s">
        <v>320</v>
      </c>
      <c r="C27" s="603" t="s">
        <v>338</v>
      </c>
      <c r="D27" s="555"/>
      <c r="E27" s="620"/>
      <c r="F27" s="620"/>
      <c r="G27" s="621"/>
    </row>
    <row r="28" spans="1:7" ht="30" x14ac:dyDescent="0.25">
      <c r="A28" s="618"/>
      <c r="B28" s="587" t="s">
        <v>366</v>
      </c>
      <c r="C28" s="203">
        <v>3232000</v>
      </c>
      <c r="D28" s="622" t="s">
        <v>316</v>
      </c>
      <c r="E28" s="620"/>
      <c r="F28" s="620"/>
      <c r="G28" s="621"/>
    </row>
    <row r="29" spans="1:7" x14ac:dyDescent="0.25">
      <c r="A29" s="618"/>
      <c r="B29" s="623"/>
      <c r="C29" s="624"/>
      <c r="D29" s="625"/>
      <c r="E29" s="620"/>
      <c r="F29" s="620"/>
      <c r="G29" s="621"/>
    </row>
    <row r="31" spans="1:7" x14ac:dyDescent="0.25">
      <c r="B31" s="598" t="s">
        <v>323</v>
      </c>
      <c r="C31" s="599"/>
      <c r="D31" s="570" t="s">
        <v>324</v>
      </c>
    </row>
    <row r="32" spans="1:7" x14ac:dyDescent="0.25">
      <c r="B32" s="581" t="s">
        <v>109</v>
      </c>
      <c r="C32" s="581" t="s">
        <v>325</v>
      </c>
      <c r="D32" s="572"/>
    </row>
    <row r="33" spans="1:6" ht="45" x14ac:dyDescent="0.25">
      <c r="B33" s="612">
        <f>SUM(B7:B24)/C28</f>
        <v>1.0208428217821782E-5</v>
      </c>
      <c r="C33" s="612">
        <f>SUM(C7:C24)/C28</f>
        <v>7.2865099009900989E-6</v>
      </c>
      <c r="D33" s="561" t="s">
        <v>367</v>
      </c>
      <c r="F33" s="139"/>
    </row>
    <row r="34" spans="1:6" x14ac:dyDescent="0.25">
      <c r="B34" s="129"/>
      <c r="C34" s="129"/>
    </row>
    <row r="36" spans="1:6" x14ac:dyDescent="0.25">
      <c r="A36" s="567" t="s">
        <v>286</v>
      </c>
      <c r="B36" s="568"/>
      <c r="C36" s="568"/>
      <c r="D36" s="568"/>
      <c r="E36" s="569"/>
      <c r="F36" s="570" t="s">
        <v>287</v>
      </c>
    </row>
    <row r="37" spans="1:6" ht="15" customHeight="1" x14ac:dyDescent="0.25">
      <c r="A37" s="555" t="s">
        <v>288</v>
      </c>
      <c r="B37" s="555"/>
      <c r="C37" s="555"/>
      <c r="D37" s="567" t="s">
        <v>289</v>
      </c>
      <c r="E37" s="569"/>
      <c r="F37" s="571"/>
    </row>
    <row r="38" spans="1:6" ht="29.25" x14ac:dyDescent="0.25">
      <c r="A38" s="548" t="s">
        <v>290</v>
      </c>
      <c r="B38" s="548" t="s">
        <v>291</v>
      </c>
      <c r="C38" s="548" t="s">
        <v>292</v>
      </c>
      <c r="D38" s="548" t="s">
        <v>293</v>
      </c>
      <c r="E38" s="548" t="s">
        <v>294</v>
      </c>
      <c r="F38" s="572"/>
    </row>
    <row r="39" spans="1:6" ht="75" x14ac:dyDescent="0.25">
      <c r="A39" s="202">
        <v>1</v>
      </c>
      <c r="B39" s="613" t="s">
        <v>343</v>
      </c>
      <c r="C39" s="561" t="s">
        <v>368</v>
      </c>
      <c r="D39" s="203">
        <v>100000</v>
      </c>
      <c r="E39" s="339">
        <f>A39</f>
        <v>1</v>
      </c>
      <c r="F39" s="561" t="s">
        <v>346</v>
      </c>
    </row>
    <row r="40" spans="1:6" ht="45" x14ac:dyDescent="0.25">
      <c r="A40" s="202">
        <v>12</v>
      </c>
      <c r="B40" s="613" t="s">
        <v>343</v>
      </c>
      <c r="C40" s="561" t="s">
        <v>368</v>
      </c>
      <c r="D40" s="203">
        <v>100000</v>
      </c>
      <c r="E40" s="339">
        <f>A40</f>
        <v>12</v>
      </c>
      <c r="F40" s="561" t="s">
        <v>345</v>
      </c>
    </row>
    <row r="41" spans="1:6" ht="114.75" customHeight="1" x14ac:dyDescent="0.25">
      <c r="A41" s="573" t="s">
        <v>296</v>
      </c>
      <c r="B41" s="573"/>
      <c r="C41" s="561" t="s">
        <v>347</v>
      </c>
      <c r="D41" s="203">
        <v>100000</v>
      </c>
      <c r="E41" s="339">
        <v>16</v>
      </c>
      <c r="F41" s="561" t="s">
        <v>348</v>
      </c>
    </row>
  </sheetData>
  <sheetProtection algorithmName="SHA-512" hashValue="SgDkA0VAt7jPA2AVXeN7+FZLeujsVizEh3Ok73JTeKMhmZFZIGxbDbrliTNTZsstHXHj0kWb1JjHU3p5wfSnDA==" saltValue="KZN9Otx1UlJtW8LlPYGioQ==" spinCount="100000" sheet="1" objects="1" scenarios="1"/>
  <mergeCells count="15">
    <mergeCell ref="F36:F38"/>
    <mergeCell ref="D37:E37"/>
    <mergeCell ref="A41:B41"/>
    <mergeCell ref="E5:E6"/>
    <mergeCell ref="E7:E24"/>
    <mergeCell ref="A4:E4"/>
    <mergeCell ref="A37:C37"/>
    <mergeCell ref="A5:A6"/>
    <mergeCell ref="D5:D6"/>
    <mergeCell ref="B31:C31"/>
    <mergeCell ref="D7:D24"/>
    <mergeCell ref="B26:C26"/>
    <mergeCell ref="D26:D27"/>
    <mergeCell ref="D31:D32"/>
    <mergeCell ref="A36:E36"/>
  </mergeCells>
  <pageMargins left="0.7" right="0.7" top="0.75" bottom="0.75" header="0.3" footer="0.3"/>
  <pageSetup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7BB779-D5A8-4C8C-97CB-F4DC5C2EBF20}">
  <dimension ref="A1:ED17"/>
  <sheetViews>
    <sheetView zoomScale="90" zoomScaleNormal="90" workbookViewId="0">
      <pane ySplit="4" topLeftCell="A13" activePane="bottomLeft" state="frozen"/>
      <selection activeCell="B4" sqref="B4"/>
      <selection pane="bottomLeft" activeCell="C3" sqref="C3"/>
    </sheetView>
  </sheetViews>
  <sheetFormatPr defaultRowHeight="15" x14ac:dyDescent="0.25"/>
  <cols>
    <col min="1" max="1" width="7.140625" style="125" customWidth="1"/>
    <col min="2" max="2" width="20.42578125" style="125" bestFit="1" customWidth="1"/>
    <col min="3" max="3" width="29.28515625" style="125" bestFit="1" customWidth="1"/>
    <col min="4" max="5" width="20.7109375" style="487" customWidth="1"/>
    <col min="6" max="6" width="38.28515625" style="487" customWidth="1"/>
    <col min="7" max="7" width="39.5703125" style="487" customWidth="1"/>
    <col min="8" max="8" width="34.5703125" style="125" customWidth="1"/>
    <col min="9" max="15" width="9.140625" style="125" hidden="1" customWidth="1"/>
    <col min="16" max="16" width="9.140625" style="125" customWidth="1"/>
    <col min="17" max="21" width="9.140625" style="125" hidden="1" customWidth="1"/>
    <col min="22" max="24" width="9.140625" style="125" customWidth="1"/>
    <col min="25" max="25" width="28.5703125" style="125" bestFit="1" customWidth="1"/>
    <col min="26" max="33" width="9.140625" style="125" customWidth="1"/>
    <col min="34" max="34" width="10.5703125" style="125" customWidth="1"/>
    <col min="35" max="35" width="10.42578125" style="125" customWidth="1"/>
    <col min="36" max="38" width="9.140625" style="125" customWidth="1"/>
    <col min="39" max="39" width="11.5703125" style="125" customWidth="1"/>
    <col min="40" max="40" width="10.85546875" style="125" customWidth="1"/>
    <col min="41" max="41" width="10" style="125" customWidth="1"/>
    <col min="42" max="42" width="9.140625" style="125" customWidth="1"/>
    <col min="43" max="43" width="11" style="125" customWidth="1"/>
    <col min="44" max="44" width="12.5703125" style="125" customWidth="1"/>
    <col min="45" max="46" width="9.140625" style="125" customWidth="1"/>
    <col min="47" max="48" width="9.140625" style="125"/>
    <col min="49" max="49" width="15.5703125" style="125" bestFit="1" customWidth="1"/>
    <col min="50" max="50" width="14.28515625" style="125" bestFit="1" customWidth="1"/>
    <col min="51" max="53" width="14.28515625" style="125" hidden="1" customWidth="1"/>
    <col min="54" max="54" width="11.5703125" style="125" bestFit="1" customWidth="1"/>
    <col min="55" max="57" width="14" style="125" customWidth="1"/>
    <col min="58" max="58" width="13.140625" style="125" customWidth="1"/>
    <col min="59" max="59" width="23.7109375" style="125" bestFit="1" customWidth="1"/>
    <col min="60" max="60" width="26.42578125" style="125" bestFit="1" customWidth="1"/>
    <col min="61" max="61" width="21.42578125" style="125" bestFit="1" customWidth="1"/>
    <col min="62" max="62" width="20" style="125" bestFit="1" customWidth="1"/>
    <col min="63" max="63" width="19.7109375" style="125" bestFit="1" customWidth="1"/>
    <col min="64" max="64" width="25.85546875" style="125" bestFit="1" customWidth="1"/>
    <col min="65" max="65" width="34.140625" style="125" bestFit="1" customWidth="1"/>
    <col min="66" max="66" width="32.7109375" style="125" bestFit="1" customWidth="1"/>
    <col min="67" max="67" width="18.85546875" style="125" bestFit="1" customWidth="1"/>
    <col min="68" max="68" width="19.42578125" style="125" customWidth="1"/>
    <col min="69" max="79" width="9.140625" style="125" customWidth="1"/>
    <col min="80" max="80" width="12.28515625" style="125" customWidth="1"/>
    <col min="81" max="83" width="19.5703125" style="125" customWidth="1"/>
    <col min="84" max="86" width="9.140625" style="125" customWidth="1"/>
    <col min="87" max="87" width="8" style="125" customWidth="1"/>
    <col min="88" max="88" width="17.42578125" style="125" customWidth="1"/>
    <col min="89" max="90" width="19.5703125" style="125" hidden="1" customWidth="1"/>
    <col min="91" max="91" width="9.140625" style="125" customWidth="1"/>
    <col min="92" max="92" width="23.42578125" style="125" customWidth="1"/>
    <col min="93" max="99" width="9.140625" style="125" customWidth="1"/>
    <col min="100" max="102" width="19.7109375" style="125" customWidth="1"/>
    <col min="103" max="105" width="9.140625" style="125" customWidth="1"/>
    <col min="106" max="106" width="17.5703125" style="125" customWidth="1"/>
    <col min="107" max="108" width="19.7109375" style="125" hidden="1" customWidth="1"/>
    <col min="109" max="109" width="13.28515625" style="125" customWidth="1"/>
    <col min="110" max="112" width="19.7109375" style="125" customWidth="1"/>
    <col min="113" max="116" width="9.140625" style="125" customWidth="1"/>
    <col min="117" max="117" width="9.42578125" style="125" customWidth="1"/>
    <col min="118" max="118" width="27.5703125" style="125" customWidth="1"/>
    <col min="119" max="120" width="9.140625" style="125" customWidth="1"/>
    <col min="121" max="121" width="26.140625" style="125" customWidth="1"/>
    <col min="122" max="122" width="11.140625" style="125" customWidth="1"/>
    <col min="123" max="123" width="26.42578125" style="125" customWidth="1"/>
    <col min="124" max="128" width="9.140625" style="125" customWidth="1"/>
    <col min="129" max="129" width="22.140625" style="125" customWidth="1"/>
    <col min="130" max="130" width="29" style="125" customWidth="1"/>
    <col min="131" max="136" width="9.140625" style="125" customWidth="1"/>
    <col min="137" max="16384" width="9.140625" style="125"/>
  </cols>
  <sheetData>
    <row r="1" spans="1:134" x14ac:dyDescent="0.25">
      <c r="A1" s="125" t="s">
        <v>369</v>
      </c>
    </row>
    <row r="2" spans="1:134" s="487" customFormat="1" x14ac:dyDescent="0.25">
      <c r="A2" s="125"/>
      <c r="BC2" s="626" t="s">
        <v>370</v>
      </c>
      <c r="BD2" s="626"/>
      <c r="BE2" s="626"/>
      <c r="CC2" s="626" t="s">
        <v>370</v>
      </c>
      <c r="CD2" s="626"/>
      <c r="CE2" s="626"/>
      <c r="CV2" s="626" t="s">
        <v>370</v>
      </c>
      <c r="CW2" s="626"/>
      <c r="CX2" s="626"/>
    </row>
    <row r="3" spans="1:134" ht="45" x14ac:dyDescent="0.25">
      <c r="A3" s="168" t="s">
        <v>371</v>
      </c>
      <c r="B3" s="168"/>
      <c r="AU3" s="627" t="s">
        <v>372</v>
      </c>
      <c r="AV3" s="627"/>
      <c r="AX3" s="125" t="s">
        <v>373</v>
      </c>
      <c r="AY3" s="487" t="s">
        <v>374</v>
      </c>
      <c r="AZ3" s="487" t="s">
        <v>375</v>
      </c>
      <c r="BA3" s="487" t="s">
        <v>376</v>
      </c>
      <c r="BB3" s="125" t="s">
        <v>373</v>
      </c>
      <c r="BC3" s="487" t="s">
        <v>374</v>
      </c>
      <c r="BD3" s="487" t="s">
        <v>377</v>
      </c>
      <c r="BE3" s="487" t="s">
        <v>378</v>
      </c>
      <c r="CC3" s="487" t="s">
        <v>374</v>
      </c>
      <c r="CD3" s="487" t="s">
        <v>377</v>
      </c>
      <c r="CE3" s="487" t="s">
        <v>378</v>
      </c>
      <c r="CJ3" s="125" t="s">
        <v>379</v>
      </c>
      <c r="CK3" s="487" t="s">
        <v>374</v>
      </c>
      <c r="CL3" s="487" t="s">
        <v>380</v>
      </c>
      <c r="CV3" s="487" t="s">
        <v>374</v>
      </c>
      <c r="CW3" s="487" t="s">
        <v>377</v>
      </c>
      <c r="CX3" s="487" t="s">
        <v>378</v>
      </c>
      <c r="DB3" s="125" t="s">
        <v>381</v>
      </c>
      <c r="DC3" s="487" t="s">
        <v>374</v>
      </c>
      <c r="DD3" s="487" t="s">
        <v>380</v>
      </c>
      <c r="DF3" s="487" t="s">
        <v>374</v>
      </c>
      <c r="DG3" s="487" t="s">
        <v>377</v>
      </c>
      <c r="DH3" s="487" t="s">
        <v>378</v>
      </c>
    </row>
    <row r="4" spans="1:134" s="603" customFormat="1" ht="85.5" x14ac:dyDescent="0.2">
      <c r="A4" s="628" t="s">
        <v>382</v>
      </c>
      <c r="B4" s="628" t="s">
        <v>383</v>
      </c>
      <c r="C4" s="628" t="s">
        <v>384</v>
      </c>
      <c r="D4" s="629" t="s">
        <v>385</v>
      </c>
      <c r="E4" s="629" t="s">
        <v>386</v>
      </c>
      <c r="F4" s="629" t="s">
        <v>387</v>
      </c>
      <c r="G4" s="629" t="s">
        <v>388</v>
      </c>
      <c r="H4" s="628" t="s">
        <v>389</v>
      </c>
      <c r="I4" s="628" t="s">
        <v>390</v>
      </c>
      <c r="J4" s="628" t="s">
        <v>391</v>
      </c>
      <c r="K4" s="628" t="s">
        <v>392</v>
      </c>
      <c r="L4" s="628" t="s">
        <v>393</v>
      </c>
      <c r="M4" s="628" t="s">
        <v>394</v>
      </c>
      <c r="N4" s="628" t="s">
        <v>395</v>
      </c>
      <c r="O4" s="628" t="s">
        <v>396</v>
      </c>
      <c r="P4" s="628" t="s">
        <v>397</v>
      </c>
      <c r="Q4" s="628" t="s">
        <v>398</v>
      </c>
      <c r="R4" s="628" t="s">
        <v>399</v>
      </c>
      <c r="S4" s="628" t="s">
        <v>400</v>
      </c>
      <c r="T4" s="628" t="s">
        <v>401</v>
      </c>
      <c r="U4" s="628" t="s">
        <v>402</v>
      </c>
      <c r="V4" s="628" t="s">
        <v>403</v>
      </c>
      <c r="W4" s="628" t="s">
        <v>404</v>
      </c>
      <c r="X4" s="628" t="s">
        <v>405</v>
      </c>
      <c r="Y4" s="628" t="s">
        <v>406</v>
      </c>
      <c r="Z4" s="628" t="s">
        <v>407</v>
      </c>
      <c r="AA4" s="628" t="s">
        <v>408</v>
      </c>
      <c r="AB4" s="628" t="s">
        <v>409</v>
      </c>
      <c r="AC4" s="628" t="s">
        <v>410</v>
      </c>
      <c r="AD4" s="628" t="s">
        <v>411</v>
      </c>
      <c r="AE4" s="628" t="s">
        <v>412</v>
      </c>
      <c r="AF4" s="630" t="s">
        <v>413</v>
      </c>
      <c r="AG4" s="630" t="s">
        <v>414</v>
      </c>
      <c r="AH4" s="630" t="s">
        <v>415</v>
      </c>
      <c r="AI4" s="630" t="s">
        <v>416</v>
      </c>
      <c r="AJ4" s="630" t="s">
        <v>417</v>
      </c>
      <c r="AK4" s="630" t="s">
        <v>418</v>
      </c>
      <c r="AL4" s="630" t="s">
        <v>419</v>
      </c>
      <c r="AM4" s="630" t="s">
        <v>420</v>
      </c>
      <c r="AN4" s="630" t="s">
        <v>421</v>
      </c>
      <c r="AO4" s="630" t="s">
        <v>422</v>
      </c>
      <c r="AP4" s="630" t="s">
        <v>423</v>
      </c>
      <c r="AQ4" s="630" t="s">
        <v>424</v>
      </c>
      <c r="AR4" s="630" t="s">
        <v>425</v>
      </c>
      <c r="AS4" s="630" t="s">
        <v>426</v>
      </c>
      <c r="AT4" s="631" t="s">
        <v>427</v>
      </c>
      <c r="AU4" s="630" t="s">
        <v>428</v>
      </c>
      <c r="AV4" s="630" t="s">
        <v>429</v>
      </c>
      <c r="AW4" s="628" t="s">
        <v>430</v>
      </c>
      <c r="AX4" s="548" t="s">
        <v>431</v>
      </c>
      <c r="AY4" s="632" t="s">
        <v>432</v>
      </c>
      <c r="AZ4" s="632" t="s">
        <v>433</v>
      </c>
      <c r="BA4" s="632" t="s">
        <v>433</v>
      </c>
      <c r="BB4" s="548" t="s">
        <v>434</v>
      </c>
      <c r="BC4" s="632" t="s">
        <v>435</v>
      </c>
      <c r="BD4" s="632" t="s">
        <v>436</v>
      </c>
      <c r="BE4" s="632" t="s">
        <v>436</v>
      </c>
      <c r="BF4" s="603" t="s">
        <v>437</v>
      </c>
      <c r="BG4" s="603" t="s">
        <v>438</v>
      </c>
      <c r="BH4" s="603" t="s">
        <v>439</v>
      </c>
      <c r="BI4" s="603" t="s">
        <v>440</v>
      </c>
      <c r="BJ4" s="603" t="s">
        <v>441</v>
      </c>
      <c r="BK4" s="603" t="s">
        <v>442</v>
      </c>
      <c r="BL4" s="603" t="s">
        <v>443</v>
      </c>
      <c r="BM4" s="603" t="s">
        <v>444</v>
      </c>
      <c r="BN4" s="603" t="s">
        <v>445</v>
      </c>
      <c r="BO4" s="603" t="s">
        <v>446</v>
      </c>
      <c r="BP4" s="603" t="s">
        <v>447</v>
      </c>
      <c r="BQ4" s="603" t="s">
        <v>448</v>
      </c>
      <c r="BR4" s="603" t="s">
        <v>449</v>
      </c>
      <c r="BS4" s="603" t="s">
        <v>450</v>
      </c>
      <c r="BT4" s="603" t="s">
        <v>451</v>
      </c>
      <c r="BU4" s="603" t="s">
        <v>452</v>
      </c>
      <c r="BV4" s="603" t="s">
        <v>453</v>
      </c>
      <c r="BW4" s="603" t="s">
        <v>454</v>
      </c>
      <c r="BX4" s="603" t="s">
        <v>455</v>
      </c>
      <c r="BY4" s="603" t="s">
        <v>456</v>
      </c>
      <c r="BZ4" s="603" t="s">
        <v>457</v>
      </c>
      <c r="CA4" s="603" t="s">
        <v>458</v>
      </c>
      <c r="CB4" s="603" t="s">
        <v>459</v>
      </c>
      <c r="CC4" s="632" t="s">
        <v>460</v>
      </c>
      <c r="CD4" s="632" t="s">
        <v>461</v>
      </c>
      <c r="CE4" s="632" t="s">
        <v>461</v>
      </c>
      <c r="CF4" s="603" t="s">
        <v>462</v>
      </c>
      <c r="CG4" s="603" t="s">
        <v>463</v>
      </c>
      <c r="CH4" s="603" t="s">
        <v>464</v>
      </c>
      <c r="CI4" s="603" t="s">
        <v>465</v>
      </c>
      <c r="CJ4" s="548" t="s">
        <v>466</v>
      </c>
      <c r="CK4" s="632" t="s">
        <v>467</v>
      </c>
      <c r="CL4" s="632" t="s">
        <v>468</v>
      </c>
      <c r="CM4" s="603" t="s">
        <v>469</v>
      </c>
      <c r="CN4" s="603" t="s">
        <v>470</v>
      </c>
      <c r="CO4" s="603" t="s">
        <v>471</v>
      </c>
      <c r="CP4" s="603" t="s">
        <v>472</v>
      </c>
      <c r="CQ4" s="603" t="s">
        <v>473</v>
      </c>
      <c r="CR4" s="603" t="s">
        <v>474</v>
      </c>
      <c r="CS4" s="603" t="s">
        <v>475</v>
      </c>
      <c r="CT4" s="603" t="s">
        <v>476</v>
      </c>
      <c r="CU4" s="603" t="s">
        <v>477</v>
      </c>
      <c r="CV4" s="632" t="s">
        <v>478</v>
      </c>
      <c r="CW4" s="632" t="s">
        <v>479</v>
      </c>
      <c r="CX4" s="632" t="s">
        <v>479</v>
      </c>
      <c r="CY4" s="603" t="s">
        <v>480</v>
      </c>
      <c r="CZ4" s="603" t="s">
        <v>481</v>
      </c>
      <c r="DA4" s="603" t="s">
        <v>482</v>
      </c>
      <c r="DB4" s="548" t="s">
        <v>483</v>
      </c>
      <c r="DC4" s="632" t="s">
        <v>484</v>
      </c>
      <c r="DD4" s="632" t="s">
        <v>485</v>
      </c>
      <c r="DE4" s="548" t="s">
        <v>486</v>
      </c>
      <c r="DF4" s="632" t="s">
        <v>487</v>
      </c>
      <c r="DG4" s="632" t="s">
        <v>488</v>
      </c>
      <c r="DH4" s="632" t="s">
        <v>488</v>
      </c>
      <c r="DI4" s="603" t="s">
        <v>489</v>
      </c>
      <c r="DJ4" s="603" t="s">
        <v>490</v>
      </c>
      <c r="DK4" s="603" t="s">
        <v>491</v>
      </c>
      <c r="DL4" s="603" t="s">
        <v>492</v>
      </c>
      <c r="DM4" s="603" t="s">
        <v>493</v>
      </c>
      <c r="DN4" s="603" t="s">
        <v>494</v>
      </c>
      <c r="DO4" s="603" t="s">
        <v>495</v>
      </c>
      <c r="DP4" s="603" t="s">
        <v>496</v>
      </c>
      <c r="DQ4" s="603" t="s">
        <v>497</v>
      </c>
      <c r="DR4" s="603" t="s">
        <v>498</v>
      </c>
      <c r="DS4" s="603" t="s">
        <v>499</v>
      </c>
      <c r="DT4" s="603" t="s">
        <v>500</v>
      </c>
      <c r="DU4" s="603" t="s">
        <v>501</v>
      </c>
      <c r="DV4" s="603" t="s">
        <v>502</v>
      </c>
      <c r="DW4" s="603" t="s">
        <v>503</v>
      </c>
      <c r="DX4" s="603" t="s">
        <v>504</v>
      </c>
      <c r="DY4" s="603" t="s">
        <v>505</v>
      </c>
      <c r="DZ4" s="603" t="s">
        <v>506</v>
      </c>
      <c r="EA4" s="603" t="s">
        <v>507</v>
      </c>
      <c r="EB4" s="603" t="s">
        <v>508</v>
      </c>
    </row>
    <row r="5" spans="1:134" ht="30" x14ac:dyDescent="0.25">
      <c r="A5" s="633" t="s">
        <v>509</v>
      </c>
      <c r="B5" s="633" t="s">
        <v>510</v>
      </c>
      <c r="C5" s="633" t="s">
        <v>511</v>
      </c>
      <c r="D5" s="634" t="s">
        <v>512</v>
      </c>
      <c r="E5" s="634" t="s">
        <v>513</v>
      </c>
      <c r="F5" s="634" t="s">
        <v>514</v>
      </c>
      <c r="G5" s="634" t="s">
        <v>515</v>
      </c>
      <c r="H5" s="633" t="s">
        <v>516</v>
      </c>
      <c r="P5" s="633" t="s">
        <v>517</v>
      </c>
      <c r="V5" s="633" t="s">
        <v>518</v>
      </c>
      <c r="W5" s="633" t="s">
        <v>519</v>
      </c>
      <c r="X5" s="633" t="s">
        <v>520</v>
      </c>
      <c r="Y5" s="633" t="s">
        <v>521</v>
      </c>
      <c r="Z5" s="633" t="s">
        <v>522</v>
      </c>
      <c r="AA5" s="633" t="s">
        <v>523</v>
      </c>
      <c r="AB5" s="633" t="s">
        <v>524</v>
      </c>
      <c r="AC5" s="633" t="s">
        <v>523</v>
      </c>
      <c r="AD5" s="633" t="s">
        <v>523</v>
      </c>
      <c r="AE5" s="633" t="s">
        <v>525</v>
      </c>
      <c r="AF5" s="125">
        <v>0</v>
      </c>
      <c r="AG5" s="125">
        <v>0</v>
      </c>
      <c r="AH5" s="125">
        <v>0</v>
      </c>
      <c r="AI5" s="125">
        <v>0</v>
      </c>
      <c r="AJ5" s="125">
        <v>0</v>
      </c>
      <c r="AK5" s="125">
        <v>0</v>
      </c>
      <c r="AL5" s="125">
        <v>0</v>
      </c>
      <c r="AM5" s="125">
        <v>1</v>
      </c>
      <c r="AN5" s="125">
        <v>0</v>
      </c>
      <c r="AO5" s="125">
        <v>0</v>
      </c>
      <c r="AP5" s="125">
        <v>0</v>
      </c>
      <c r="AQ5" s="125">
        <v>0</v>
      </c>
      <c r="AR5" s="125">
        <v>0</v>
      </c>
      <c r="AS5" s="125">
        <v>0</v>
      </c>
      <c r="AT5" s="633" t="s">
        <v>526</v>
      </c>
      <c r="AU5" s="125">
        <v>10000</v>
      </c>
      <c r="AV5" s="125">
        <v>99999</v>
      </c>
      <c r="AW5" s="633" t="s">
        <v>527</v>
      </c>
      <c r="AX5" s="125">
        <v>0</v>
      </c>
      <c r="AY5" s="635">
        <f>CONVERT(AX5,"lbm","g")/1000</f>
        <v>0</v>
      </c>
      <c r="AZ5" s="635">
        <f>AY5/250</f>
        <v>0</v>
      </c>
      <c r="BA5" s="635"/>
      <c r="BB5" s="125">
        <v>4</v>
      </c>
      <c r="BC5" s="488">
        <f>CONVERT(BB5,"lbm","g")/1000</f>
        <v>1.8143694800000001</v>
      </c>
      <c r="BD5" s="488">
        <f>BC5/1</f>
        <v>1.8143694800000001</v>
      </c>
      <c r="BE5" s="139">
        <f>BC5/16</f>
        <v>0.11339809250000001</v>
      </c>
      <c r="BF5" s="125">
        <v>0</v>
      </c>
      <c r="BG5" s="125">
        <v>0</v>
      </c>
      <c r="BH5" s="125">
        <v>0</v>
      </c>
      <c r="BI5" s="125">
        <v>0</v>
      </c>
      <c r="BJ5" s="125">
        <v>0</v>
      </c>
      <c r="BK5" s="125">
        <v>0</v>
      </c>
      <c r="BL5" s="125">
        <v>0</v>
      </c>
      <c r="BM5" s="125">
        <v>0</v>
      </c>
      <c r="BN5" s="125">
        <v>0</v>
      </c>
      <c r="BO5" s="125">
        <v>0</v>
      </c>
      <c r="BP5" s="125">
        <v>4</v>
      </c>
      <c r="BQ5" s="125">
        <v>0</v>
      </c>
      <c r="BR5" s="125">
        <v>0</v>
      </c>
      <c r="BS5" s="125">
        <v>0</v>
      </c>
      <c r="BT5" s="125">
        <v>0</v>
      </c>
      <c r="BU5" s="125">
        <v>0</v>
      </c>
      <c r="BV5" s="125">
        <v>0</v>
      </c>
      <c r="BW5" s="125">
        <v>0</v>
      </c>
      <c r="BX5" s="125">
        <v>0</v>
      </c>
      <c r="BY5" s="125">
        <v>0</v>
      </c>
      <c r="BZ5" s="125">
        <v>0</v>
      </c>
      <c r="CA5" s="125">
        <v>0</v>
      </c>
      <c r="CB5" s="125">
        <v>271</v>
      </c>
      <c r="CC5" s="125">
        <f>CONVERT(CB5,"lbm","g")/1000</f>
        <v>122.92353227000001</v>
      </c>
      <c r="CD5" s="125">
        <f>CC5/1</f>
        <v>122.92353227000001</v>
      </c>
      <c r="CE5" s="125">
        <f>CC5/16</f>
        <v>7.6827207668750006</v>
      </c>
      <c r="CF5" s="125">
        <v>0</v>
      </c>
      <c r="CG5" s="125">
        <v>0</v>
      </c>
      <c r="CH5" s="125">
        <v>0</v>
      </c>
      <c r="CI5" s="125">
        <v>0</v>
      </c>
      <c r="CJ5" s="125">
        <v>0</v>
      </c>
      <c r="CK5" s="125">
        <f>CONVERT(CJ5,"lbm","g")/1000</f>
        <v>0</v>
      </c>
      <c r="CL5" s="125">
        <f>CK5/250</f>
        <v>0</v>
      </c>
      <c r="CM5" s="125">
        <v>0</v>
      </c>
      <c r="CN5" s="125">
        <v>271</v>
      </c>
      <c r="CO5" s="125">
        <v>0</v>
      </c>
      <c r="CP5" s="125">
        <v>0</v>
      </c>
      <c r="CQ5" s="125">
        <v>0</v>
      </c>
      <c r="CR5" s="125">
        <v>0</v>
      </c>
      <c r="CS5" s="125">
        <v>0</v>
      </c>
      <c r="CT5" s="125">
        <v>0</v>
      </c>
      <c r="CU5" s="125">
        <v>0</v>
      </c>
      <c r="CV5" s="125">
        <f>CONVERT(CU5,"lbm","g")/1000</f>
        <v>0</v>
      </c>
      <c r="CW5" s="125">
        <f>CV5/1</f>
        <v>0</v>
      </c>
      <c r="CX5" s="125">
        <f>CV5/16</f>
        <v>0</v>
      </c>
      <c r="CY5" s="125">
        <v>0</v>
      </c>
      <c r="CZ5" s="125">
        <v>0</v>
      </c>
      <c r="DA5" s="125">
        <v>0</v>
      </c>
      <c r="DB5" s="125">
        <v>0</v>
      </c>
      <c r="DC5" s="125">
        <f>CONVERT(DB5,"lbm","g")/1000</f>
        <v>0</v>
      </c>
      <c r="DD5" s="125">
        <f>DC5/250</f>
        <v>0</v>
      </c>
      <c r="DE5" s="125">
        <v>68</v>
      </c>
      <c r="DF5" s="125">
        <f>CONVERT(DE5,"lbm","g")/1000</f>
        <v>30.844281160000001</v>
      </c>
      <c r="DG5" s="125">
        <f>DF5/1</f>
        <v>30.844281160000001</v>
      </c>
      <c r="DH5" s="125">
        <f>DF5/16</f>
        <v>1.9277675725000001</v>
      </c>
      <c r="DI5" s="125">
        <v>0</v>
      </c>
      <c r="DJ5" s="125">
        <v>0</v>
      </c>
      <c r="DK5" s="125">
        <v>0</v>
      </c>
      <c r="DL5" s="125">
        <v>0</v>
      </c>
      <c r="DM5" s="125">
        <v>68</v>
      </c>
      <c r="DN5" s="125">
        <v>275</v>
      </c>
      <c r="DO5" s="125">
        <v>0</v>
      </c>
      <c r="DP5" s="125">
        <v>0</v>
      </c>
      <c r="DQ5" s="125">
        <v>4</v>
      </c>
      <c r="DR5" s="125">
        <v>271</v>
      </c>
      <c r="DS5" s="125">
        <v>0</v>
      </c>
      <c r="DT5" s="125">
        <v>0</v>
      </c>
      <c r="DU5" s="125">
        <v>0</v>
      </c>
      <c r="DV5" s="125">
        <v>0</v>
      </c>
      <c r="DW5" s="125">
        <v>0</v>
      </c>
      <c r="DX5" s="125">
        <v>0</v>
      </c>
      <c r="DY5" s="125">
        <v>68</v>
      </c>
      <c r="DZ5" s="125">
        <v>343</v>
      </c>
      <c r="EA5" s="125">
        <v>0</v>
      </c>
      <c r="EB5" s="125">
        <v>0</v>
      </c>
    </row>
    <row r="6" spans="1:134" ht="30" x14ac:dyDescent="0.25">
      <c r="A6" s="633" t="s">
        <v>509</v>
      </c>
      <c r="B6" s="633" t="s">
        <v>528</v>
      </c>
      <c r="C6" s="633" t="s">
        <v>529</v>
      </c>
      <c r="D6" s="634" t="s">
        <v>530</v>
      </c>
      <c r="E6" s="634" t="s">
        <v>531</v>
      </c>
      <c r="F6" s="634" t="s">
        <v>532</v>
      </c>
      <c r="G6" s="634" t="s">
        <v>533</v>
      </c>
      <c r="H6" s="633" t="s">
        <v>534</v>
      </c>
      <c r="P6" s="633" t="s">
        <v>517</v>
      </c>
      <c r="V6" s="633" t="s">
        <v>518</v>
      </c>
      <c r="W6" s="633" t="s">
        <v>519</v>
      </c>
      <c r="X6" s="633" t="s">
        <v>535</v>
      </c>
      <c r="Y6" s="633" t="s">
        <v>521</v>
      </c>
      <c r="Z6" s="633" t="s">
        <v>522</v>
      </c>
      <c r="AA6" s="633" t="s">
        <v>523</v>
      </c>
      <c r="AB6" s="633" t="s">
        <v>524</v>
      </c>
      <c r="AC6" s="633" t="s">
        <v>523</v>
      </c>
      <c r="AD6" s="633" t="s">
        <v>523</v>
      </c>
      <c r="AE6" s="633" t="s">
        <v>525</v>
      </c>
      <c r="AF6" s="125">
        <v>0</v>
      </c>
      <c r="AG6" s="125">
        <v>0</v>
      </c>
      <c r="AH6" s="125">
        <v>0</v>
      </c>
      <c r="AI6" s="125">
        <v>0</v>
      </c>
      <c r="AJ6" s="125">
        <v>0</v>
      </c>
      <c r="AK6" s="125">
        <v>0</v>
      </c>
      <c r="AL6" s="125">
        <v>0</v>
      </c>
      <c r="AM6" s="125">
        <v>1</v>
      </c>
      <c r="AN6" s="125">
        <v>0</v>
      </c>
      <c r="AO6" s="125">
        <v>0</v>
      </c>
      <c r="AP6" s="125">
        <v>0</v>
      </c>
      <c r="AQ6" s="125">
        <v>0</v>
      </c>
      <c r="AR6" s="125">
        <v>0</v>
      </c>
      <c r="AS6" s="125">
        <v>0</v>
      </c>
      <c r="AT6" s="633" t="s">
        <v>526</v>
      </c>
      <c r="AU6" s="125">
        <v>10000</v>
      </c>
      <c r="AV6" s="125">
        <v>99999</v>
      </c>
      <c r="AW6" s="633" t="s">
        <v>527</v>
      </c>
      <c r="AX6" s="125">
        <v>0</v>
      </c>
      <c r="AY6" s="636">
        <f>CONVERT(AX6,"lbm","g")/1000</f>
        <v>0</v>
      </c>
      <c r="AZ6" s="636">
        <f>AY6/250</f>
        <v>0</v>
      </c>
      <c r="BA6" s="636"/>
      <c r="BB6" s="129">
        <v>47</v>
      </c>
      <c r="BC6" s="637">
        <f>CONVERT(BB6,"lbm","g")/1000</f>
        <v>21.318841390000003</v>
      </c>
      <c r="BD6" s="637">
        <f>BC6/1</f>
        <v>21.318841390000003</v>
      </c>
      <c r="BE6" s="637">
        <f>BC6/16</f>
        <v>1.3324275868750002</v>
      </c>
      <c r="BF6" s="129">
        <v>0</v>
      </c>
      <c r="BG6" s="129">
        <v>0</v>
      </c>
      <c r="BH6" s="129">
        <v>0</v>
      </c>
      <c r="BI6" s="129">
        <v>0</v>
      </c>
      <c r="BJ6" s="129">
        <v>0</v>
      </c>
      <c r="BK6" s="129">
        <v>0</v>
      </c>
      <c r="BL6" s="129">
        <v>0</v>
      </c>
      <c r="BM6" s="129">
        <v>0</v>
      </c>
      <c r="BN6" s="129">
        <v>0</v>
      </c>
      <c r="BO6" s="129">
        <v>0</v>
      </c>
      <c r="BP6" s="129">
        <v>47</v>
      </c>
      <c r="BQ6" s="129">
        <v>0</v>
      </c>
      <c r="BR6" s="129">
        <v>0</v>
      </c>
      <c r="BS6" s="129">
        <v>0</v>
      </c>
      <c r="BT6" s="129">
        <v>0</v>
      </c>
      <c r="BU6" s="129">
        <v>0</v>
      </c>
      <c r="BV6" s="129">
        <v>0</v>
      </c>
      <c r="BW6" s="129">
        <v>0</v>
      </c>
      <c r="BX6" s="129">
        <v>0</v>
      </c>
      <c r="BY6" s="129">
        <v>0</v>
      </c>
      <c r="BZ6" s="129">
        <v>0</v>
      </c>
      <c r="CA6" s="129">
        <v>0</v>
      </c>
      <c r="CB6" s="129">
        <v>240</v>
      </c>
      <c r="CC6" s="129">
        <f>CONVERT(CB6,"lbm","g")/1000</f>
        <v>108.86216880000001</v>
      </c>
      <c r="CD6" s="129">
        <f>CC6/1</f>
        <v>108.86216880000001</v>
      </c>
      <c r="CE6" s="129">
        <f>CC6/16</f>
        <v>6.8038855500000004</v>
      </c>
      <c r="CF6" s="129">
        <v>0</v>
      </c>
      <c r="CG6" s="129">
        <v>0</v>
      </c>
      <c r="CH6" s="129">
        <v>0</v>
      </c>
      <c r="CI6" s="129">
        <v>0</v>
      </c>
      <c r="CJ6" s="129">
        <v>0</v>
      </c>
      <c r="CK6" s="129">
        <f>CONVERT(CJ6,"lbm","g")/1000</f>
        <v>0</v>
      </c>
      <c r="CL6" s="129">
        <f>CK6/250</f>
        <v>0</v>
      </c>
      <c r="CM6" s="129">
        <v>0</v>
      </c>
      <c r="CN6" s="129">
        <v>240</v>
      </c>
      <c r="CO6" s="129">
        <v>0</v>
      </c>
      <c r="CP6" s="129">
        <v>0</v>
      </c>
      <c r="CQ6" s="129">
        <v>0</v>
      </c>
      <c r="CR6" s="129">
        <v>0</v>
      </c>
      <c r="CS6" s="129">
        <v>0</v>
      </c>
      <c r="CT6" s="129">
        <v>0</v>
      </c>
      <c r="CU6" s="129">
        <v>51</v>
      </c>
      <c r="CV6" s="129">
        <f>CONVERT(CU6,"lbm","g")/1000</f>
        <v>23.133210870000003</v>
      </c>
      <c r="CW6" s="129">
        <f>CV6/1</f>
        <v>23.133210870000003</v>
      </c>
      <c r="CX6" s="129">
        <f>CV6/16</f>
        <v>1.4458256793750002</v>
      </c>
      <c r="CY6" s="129">
        <v>0</v>
      </c>
      <c r="CZ6" s="129">
        <v>51</v>
      </c>
      <c r="DA6" s="129">
        <v>0</v>
      </c>
      <c r="DB6" s="129">
        <v>0</v>
      </c>
      <c r="DC6" s="129">
        <f>CONVERT(DB6,"lbm","g")/1000</f>
        <v>0</v>
      </c>
      <c r="DD6" s="129">
        <f>DC6/250</f>
        <v>0</v>
      </c>
      <c r="DE6" s="129">
        <v>0</v>
      </c>
      <c r="DF6" s="129">
        <f>CONVERT(DE6,"lbm","g")/1000</f>
        <v>0</v>
      </c>
      <c r="DG6" s="129">
        <f>DF6/1</f>
        <v>0</v>
      </c>
      <c r="DH6" s="129">
        <f>DF6/16</f>
        <v>0</v>
      </c>
      <c r="DI6" s="125">
        <v>0</v>
      </c>
      <c r="DJ6" s="125">
        <v>0</v>
      </c>
      <c r="DK6" s="125">
        <v>0</v>
      </c>
      <c r="DL6" s="125">
        <v>0</v>
      </c>
      <c r="DM6" s="125">
        <v>0</v>
      </c>
      <c r="DN6" s="125">
        <v>287</v>
      </c>
      <c r="DO6" s="125">
        <v>0</v>
      </c>
      <c r="DP6" s="125">
        <v>0</v>
      </c>
      <c r="DQ6" s="125">
        <v>47</v>
      </c>
      <c r="DR6" s="125">
        <v>240</v>
      </c>
      <c r="DS6" s="125">
        <v>0</v>
      </c>
      <c r="DT6" s="125">
        <v>0</v>
      </c>
      <c r="DU6" s="125">
        <v>51</v>
      </c>
      <c r="DV6" s="125">
        <v>0</v>
      </c>
      <c r="DW6" s="125">
        <v>0</v>
      </c>
      <c r="DX6" s="125">
        <v>0</v>
      </c>
      <c r="DY6" s="125">
        <v>0</v>
      </c>
      <c r="DZ6" s="125">
        <v>338</v>
      </c>
      <c r="EA6" s="125">
        <v>0</v>
      </c>
      <c r="EB6" s="125">
        <v>0</v>
      </c>
    </row>
    <row r="7" spans="1:134" s="129" customFormat="1" x14ac:dyDescent="0.25">
      <c r="D7" s="638"/>
      <c r="E7" s="638"/>
      <c r="F7" s="638"/>
      <c r="G7" s="638"/>
      <c r="AY7" s="636"/>
      <c r="AZ7" s="636"/>
      <c r="BA7" s="636"/>
      <c r="BB7" s="637"/>
      <c r="BC7" s="637"/>
      <c r="BD7" s="637"/>
      <c r="BE7" s="637"/>
      <c r="BF7" s="637"/>
      <c r="BG7" s="637"/>
      <c r="BH7" s="637"/>
      <c r="BI7" s="637"/>
      <c r="BJ7" s="637"/>
      <c r="BK7" s="637"/>
      <c r="BL7" s="637"/>
      <c r="BM7" s="637"/>
      <c r="BN7" s="637"/>
      <c r="BO7" s="637"/>
      <c r="BP7" s="637"/>
      <c r="BQ7" s="637"/>
      <c r="BR7" s="637"/>
      <c r="BS7" s="637"/>
      <c r="BT7" s="637"/>
      <c r="BU7" s="637"/>
      <c r="BV7" s="637"/>
      <c r="BW7" s="637"/>
      <c r="BX7" s="637"/>
      <c r="BY7" s="637"/>
      <c r="BZ7" s="637"/>
      <c r="CA7" s="637"/>
      <c r="CB7" s="637"/>
      <c r="CC7" s="637"/>
      <c r="CD7" s="637"/>
      <c r="CE7" s="637"/>
      <c r="CF7" s="637"/>
      <c r="CG7" s="637"/>
      <c r="CH7" s="637"/>
      <c r="CI7" s="637"/>
      <c r="CJ7" s="637"/>
      <c r="CK7" s="637"/>
      <c r="CL7" s="637"/>
      <c r="CM7" s="637"/>
      <c r="CN7" s="637"/>
      <c r="CO7" s="637"/>
      <c r="CP7" s="637"/>
      <c r="CQ7" s="637"/>
      <c r="CR7" s="637"/>
      <c r="CS7" s="637"/>
      <c r="CT7" s="637"/>
      <c r="CU7" s="637"/>
      <c r="CV7" s="637"/>
      <c r="CW7" s="637"/>
      <c r="CX7" s="637"/>
      <c r="CY7" s="637"/>
      <c r="CZ7" s="637"/>
      <c r="DA7" s="637"/>
      <c r="DB7" s="637"/>
      <c r="DC7" s="637"/>
      <c r="DD7" s="637"/>
      <c r="DE7" s="637"/>
      <c r="DF7" s="637"/>
      <c r="DG7" s="637"/>
      <c r="DH7" s="637"/>
      <c r="DI7" s="637"/>
      <c r="DJ7" s="637"/>
      <c r="DK7" s="637"/>
      <c r="DL7" s="637"/>
      <c r="DM7" s="637"/>
      <c r="DN7" s="637"/>
      <c r="DO7" s="637"/>
      <c r="DP7" s="637"/>
      <c r="DQ7" s="637"/>
      <c r="DR7" s="637"/>
      <c r="DS7" s="637"/>
      <c r="DT7" s="637"/>
      <c r="DU7" s="637"/>
      <c r="DV7" s="637"/>
      <c r="DW7" s="637"/>
      <c r="DX7" s="637"/>
      <c r="DY7" s="637"/>
      <c r="DZ7" s="637"/>
      <c r="EA7" s="637"/>
      <c r="EB7" s="637"/>
      <c r="EC7" s="637"/>
      <c r="ED7" s="637"/>
    </row>
    <row r="9" spans="1:134" x14ac:dyDescent="0.25">
      <c r="B9" s="168" t="s">
        <v>536</v>
      </c>
      <c r="C9" s="168"/>
      <c r="D9" s="168"/>
      <c r="E9" s="168"/>
    </row>
    <row r="10" spans="1:134" ht="30" customHeight="1" x14ac:dyDescent="0.25">
      <c r="B10" s="570" t="s">
        <v>537</v>
      </c>
      <c r="C10" s="570" t="s">
        <v>153</v>
      </c>
      <c r="D10" s="555" t="s">
        <v>538</v>
      </c>
      <c r="E10" s="555"/>
      <c r="F10" s="556"/>
    </row>
    <row r="11" spans="1:134" ht="43.5" x14ac:dyDescent="0.25">
      <c r="B11" s="572"/>
      <c r="C11" s="572"/>
      <c r="D11" s="548" t="s">
        <v>539</v>
      </c>
      <c r="E11" s="548" t="s">
        <v>540</v>
      </c>
      <c r="J11" s="487"/>
      <c r="K11" s="487"/>
      <c r="L11" s="487"/>
    </row>
    <row r="12" spans="1:134" ht="77.25" x14ac:dyDescent="0.25">
      <c r="B12" s="561" t="s">
        <v>157</v>
      </c>
      <c r="C12" s="485" t="s">
        <v>158</v>
      </c>
      <c r="D12" s="485" t="s">
        <v>159</v>
      </c>
      <c r="E12" s="485" t="s">
        <v>160</v>
      </c>
      <c r="K12" s="488"/>
      <c r="L12" s="488"/>
    </row>
    <row r="13" spans="1:134" ht="77.25" x14ac:dyDescent="0.25">
      <c r="B13" s="561" t="s">
        <v>161</v>
      </c>
      <c r="C13" s="485" t="s">
        <v>162</v>
      </c>
      <c r="D13" s="485" t="s">
        <v>163</v>
      </c>
      <c r="E13" s="485" t="s">
        <v>164</v>
      </c>
      <c r="K13" s="488"/>
      <c r="L13" s="488"/>
    </row>
    <row r="14" spans="1:134" ht="15.75" x14ac:dyDescent="0.25">
      <c r="B14" s="486" t="s">
        <v>906</v>
      </c>
      <c r="H14" s="487"/>
      <c r="K14" s="488"/>
      <c r="L14" s="488"/>
    </row>
    <row r="15" spans="1:134" ht="15.75" x14ac:dyDescent="0.25">
      <c r="B15" s="486" t="s">
        <v>907</v>
      </c>
      <c r="K15" s="488"/>
      <c r="L15" s="489"/>
    </row>
    <row r="16" spans="1:134" ht="15.75" x14ac:dyDescent="0.25">
      <c r="B16" s="486" t="s">
        <v>908</v>
      </c>
    </row>
    <row r="17" spans="2:2" ht="16.5" x14ac:dyDescent="0.25">
      <c r="B17" s="490" t="s">
        <v>909</v>
      </c>
    </row>
  </sheetData>
  <sheetProtection algorithmName="SHA-512" hashValue="YtVXGvmCla3QWEkVs/bAFYxGW6iyG5Axb4Ie6yGJR+5tcsEs91GWud2Nma6NysZ2EbCfneLrTx4mva/NOMqIiw==" saltValue="dYYxzhcLFDdJeit0SaGoyA==" spinCount="100000" sheet="1" objects="1" scenarios="1"/>
  <mergeCells count="9">
    <mergeCell ref="CC2:CE2"/>
    <mergeCell ref="CV2:CX2"/>
    <mergeCell ref="A3:B3"/>
    <mergeCell ref="AU3:AV3"/>
    <mergeCell ref="B10:B11"/>
    <mergeCell ref="C10:C11"/>
    <mergeCell ref="D10:E10"/>
    <mergeCell ref="B9:E9"/>
    <mergeCell ref="BC2:BE2"/>
  </mergeCells>
  <pageMargins left="0.7" right="0.7" top="0.75" bottom="0.75" header="0.3" footer="0.3"/>
  <pageSetup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2ED760-483E-4A24-BA77-8D7912EE3BA2}">
  <sheetPr codeName="Sheet11"/>
  <dimension ref="A1:N26"/>
  <sheetViews>
    <sheetView zoomScale="90" zoomScaleNormal="90" workbookViewId="0">
      <selection sqref="A1:XFD1048576"/>
    </sheetView>
  </sheetViews>
  <sheetFormatPr defaultRowHeight="15" x14ac:dyDescent="0.25"/>
  <cols>
    <col min="1" max="1" width="30" style="487" customWidth="1"/>
    <col min="2" max="2" width="19.5703125" style="487" customWidth="1"/>
    <col min="3" max="3" width="42.28515625" style="487" customWidth="1"/>
    <col min="4" max="4" width="36.140625" style="487" customWidth="1"/>
    <col min="5" max="5" width="20.42578125" style="487" customWidth="1"/>
    <col min="6" max="6" width="12.5703125" style="487" customWidth="1"/>
    <col min="7" max="7" width="31.140625" style="487" customWidth="1"/>
    <col min="8" max="8" width="11.28515625" style="487" customWidth="1"/>
    <col min="9" max="10" width="9.140625" style="487"/>
    <col min="11" max="11" width="16.5703125" style="487" customWidth="1"/>
    <col min="12" max="13" width="9.140625" style="487"/>
    <col min="14" max="14" width="27.7109375" style="487" customWidth="1"/>
    <col min="15" max="16384" width="9.140625" style="487"/>
  </cols>
  <sheetData>
    <row r="1" spans="1:14" x14ac:dyDescent="0.25">
      <c r="A1" s="125" t="s">
        <v>541</v>
      </c>
    </row>
    <row r="2" spans="1:14" x14ac:dyDescent="0.25">
      <c r="A2" s="125"/>
    </row>
    <row r="3" spans="1:14" ht="15" customHeight="1" x14ac:dyDescent="0.25">
      <c r="A3" s="125"/>
      <c r="G3" s="557" t="s">
        <v>274</v>
      </c>
      <c r="H3" s="557"/>
      <c r="I3" s="557"/>
      <c r="K3" s="557" t="s">
        <v>274</v>
      </c>
      <c r="L3" s="557"/>
      <c r="M3" s="557"/>
      <c r="N3" s="557"/>
    </row>
    <row r="4" spans="1:14" ht="30" customHeight="1" x14ac:dyDescent="0.25">
      <c r="A4" s="555" t="s">
        <v>273</v>
      </c>
      <c r="B4" s="555"/>
      <c r="C4" s="555"/>
      <c r="D4" s="555"/>
      <c r="E4" s="555"/>
      <c r="F4" s="556"/>
      <c r="G4" s="555" t="s">
        <v>542</v>
      </c>
      <c r="H4" s="555"/>
      <c r="I4" s="555"/>
      <c r="K4" s="555" t="s">
        <v>543</v>
      </c>
      <c r="L4" s="555"/>
      <c r="M4" s="555"/>
      <c r="N4" s="555"/>
    </row>
    <row r="5" spans="1:14" ht="43.5" x14ac:dyDescent="0.25">
      <c r="A5" s="134" t="s">
        <v>120</v>
      </c>
      <c r="B5" s="557" t="s">
        <v>275</v>
      </c>
      <c r="C5" s="557"/>
      <c r="D5" s="134" t="s">
        <v>276</v>
      </c>
      <c r="E5" s="134" t="s">
        <v>277</v>
      </c>
      <c r="F5" s="564"/>
      <c r="G5" s="134" t="s">
        <v>278</v>
      </c>
      <c r="H5" s="548" t="s">
        <v>279</v>
      </c>
      <c r="I5" s="548" t="s">
        <v>280</v>
      </c>
      <c r="K5" s="558" t="s">
        <v>278</v>
      </c>
      <c r="L5" s="548" t="s">
        <v>279</v>
      </c>
      <c r="M5" s="548" t="s">
        <v>280</v>
      </c>
      <c r="N5" s="548" t="s">
        <v>324</v>
      </c>
    </row>
    <row r="6" spans="1:14" ht="90" x14ac:dyDescent="0.25">
      <c r="A6" s="639" t="s">
        <v>544</v>
      </c>
      <c r="B6" s="639">
        <v>0.01</v>
      </c>
      <c r="C6" s="639">
        <v>0.01</v>
      </c>
      <c r="D6" s="639" t="s">
        <v>545</v>
      </c>
      <c r="E6" s="639" t="s">
        <v>283</v>
      </c>
      <c r="G6" s="640" t="s">
        <v>546</v>
      </c>
      <c r="H6" s="641">
        <f>B6</f>
        <v>0.01</v>
      </c>
      <c r="I6" s="641">
        <f t="shared" ref="H6:I9" si="0">C6</f>
        <v>0.01</v>
      </c>
      <c r="K6" s="642" t="s">
        <v>547</v>
      </c>
      <c r="L6" s="641">
        <f>B8+B6</f>
        <v>0.02</v>
      </c>
      <c r="M6" s="641">
        <f>C8+C6</f>
        <v>0.02</v>
      </c>
      <c r="N6" s="561" t="s">
        <v>548</v>
      </c>
    </row>
    <row r="7" spans="1:14" ht="60" x14ac:dyDescent="0.25">
      <c r="A7" s="561" t="s">
        <v>549</v>
      </c>
      <c r="B7" s="561">
        <v>1E-3</v>
      </c>
      <c r="C7" s="561">
        <v>5.0000000000000001E-3</v>
      </c>
      <c r="D7" s="561" t="s">
        <v>550</v>
      </c>
      <c r="E7" s="561" t="s">
        <v>283</v>
      </c>
      <c r="G7" s="642" t="s">
        <v>551</v>
      </c>
      <c r="H7" s="562">
        <f t="shared" si="0"/>
        <v>1E-3</v>
      </c>
      <c r="I7" s="562">
        <f t="shared" si="0"/>
        <v>5.0000000000000001E-3</v>
      </c>
      <c r="K7" s="642" t="s">
        <v>551</v>
      </c>
      <c r="L7" s="562">
        <f>B7</f>
        <v>1E-3</v>
      </c>
      <c r="M7" s="562">
        <f>C7</f>
        <v>5.0000000000000001E-3</v>
      </c>
      <c r="N7" s="561" t="s">
        <v>552</v>
      </c>
    </row>
    <row r="8" spans="1:14" ht="60" x14ac:dyDescent="0.25">
      <c r="A8" s="643" t="s">
        <v>553</v>
      </c>
      <c r="B8" s="561">
        <v>0.01</v>
      </c>
      <c r="C8" s="561">
        <v>0.01</v>
      </c>
      <c r="D8" s="643" t="s">
        <v>554</v>
      </c>
      <c r="E8" s="643" t="s">
        <v>555</v>
      </c>
      <c r="G8" s="642" t="s">
        <v>556</v>
      </c>
      <c r="H8" s="562">
        <f t="shared" si="0"/>
        <v>0.01</v>
      </c>
      <c r="I8" s="562">
        <f t="shared" si="0"/>
        <v>0.01</v>
      </c>
      <c r="K8" s="565"/>
      <c r="L8" s="644"/>
      <c r="M8" s="644"/>
      <c r="N8" s="564"/>
    </row>
    <row r="9" spans="1:14" ht="45" x14ac:dyDescent="0.25">
      <c r="A9" s="561" t="s">
        <v>557</v>
      </c>
      <c r="B9" s="561">
        <v>0.01</v>
      </c>
      <c r="C9" s="561">
        <v>2.5000000000000001E-2</v>
      </c>
      <c r="D9" s="561" t="s">
        <v>558</v>
      </c>
      <c r="E9" s="561" t="s">
        <v>559</v>
      </c>
      <c r="G9" s="642" t="s">
        <v>560</v>
      </c>
      <c r="H9" s="645">
        <f t="shared" si="0"/>
        <v>0.01</v>
      </c>
      <c r="I9" s="645">
        <f t="shared" si="0"/>
        <v>2.5000000000000001E-2</v>
      </c>
      <c r="K9" s="565"/>
      <c r="L9" s="566"/>
      <c r="M9" s="566"/>
      <c r="N9" s="564"/>
    </row>
    <row r="10" spans="1:14" x14ac:dyDescent="0.25">
      <c r="K10" s="564"/>
      <c r="L10" s="564"/>
      <c r="M10" s="564"/>
      <c r="N10" s="564"/>
    </row>
    <row r="13" spans="1:14" x14ac:dyDescent="0.25">
      <c r="A13" s="555" t="s">
        <v>286</v>
      </c>
      <c r="B13" s="555"/>
      <c r="C13" s="555"/>
      <c r="D13" s="555"/>
      <c r="E13" s="555"/>
      <c r="F13" s="555" t="s">
        <v>287</v>
      </c>
      <c r="G13" s="555" t="s">
        <v>27</v>
      </c>
    </row>
    <row r="14" spans="1:14" x14ac:dyDescent="0.25">
      <c r="A14" s="555" t="s">
        <v>288</v>
      </c>
      <c r="B14" s="555"/>
      <c r="C14" s="555"/>
      <c r="D14" s="555" t="s">
        <v>289</v>
      </c>
      <c r="E14" s="555"/>
      <c r="F14" s="555"/>
      <c r="G14" s="555"/>
    </row>
    <row r="15" spans="1:14" ht="29.25" x14ac:dyDescent="0.25">
      <c r="A15" s="548" t="s">
        <v>290</v>
      </c>
      <c r="B15" s="548" t="s">
        <v>291</v>
      </c>
      <c r="C15" s="548" t="s">
        <v>292</v>
      </c>
      <c r="D15" s="548" t="s">
        <v>293</v>
      </c>
      <c r="E15" s="548" t="s">
        <v>294</v>
      </c>
      <c r="F15" s="555"/>
      <c r="G15" s="555"/>
    </row>
    <row r="16" spans="1:14" x14ac:dyDescent="0.25">
      <c r="A16" s="555" t="s">
        <v>561</v>
      </c>
      <c r="B16" s="555"/>
      <c r="C16" s="555"/>
      <c r="D16" s="555"/>
      <c r="E16" s="555"/>
      <c r="F16" s="555"/>
      <c r="G16" s="555"/>
    </row>
    <row r="17" spans="1:7" ht="45" x14ac:dyDescent="0.25">
      <c r="A17" s="561" t="s">
        <v>562</v>
      </c>
      <c r="B17" s="561" t="s">
        <v>563</v>
      </c>
      <c r="C17" s="561" t="s">
        <v>564</v>
      </c>
      <c r="D17" s="574" t="s">
        <v>331</v>
      </c>
      <c r="E17" s="575">
        <f>10*14</f>
        <v>140</v>
      </c>
      <c r="F17" s="575" t="s">
        <v>298</v>
      </c>
      <c r="G17" s="390" t="s">
        <v>565</v>
      </c>
    </row>
    <row r="18" spans="1:7" ht="60" customHeight="1" x14ac:dyDescent="0.25">
      <c r="A18" s="573" t="s">
        <v>296</v>
      </c>
      <c r="B18" s="573"/>
      <c r="C18" s="561" t="s">
        <v>347</v>
      </c>
      <c r="D18" s="574">
        <v>100000</v>
      </c>
      <c r="E18" s="575">
        <f>ROUND(0.35*CONVERT(D18,"lbm","g")/1000/1000,0)</f>
        <v>16</v>
      </c>
      <c r="F18" s="575" t="s">
        <v>300</v>
      </c>
      <c r="G18" s="390"/>
    </row>
    <row r="19" spans="1:7" ht="60" customHeight="1" x14ac:dyDescent="0.25">
      <c r="A19" s="561" t="s">
        <v>562</v>
      </c>
      <c r="B19" s="561" t="s">
        <v>563</v>
      </c>
      <c r="C19" s="561" t="s">
        <v>564</v>
      </c>
      <c r="D19" s="574" t="s">
        <v>331</v>
      </c>
      <c r="E19" s="575">
        <f>10*14</f>
        <v>140</v>
      </c>
      <c r="F19" s="575" t="s">
        <v>298</v>
      </c>
      <c r="G19" s="287" t="s">
        <v>566</v>
      </c>
    </row>
    <row r="20" spans="1:7" ht="60" x14ac:dyDescent="0.25">
      <c r="A20" s="573" t="s">
        <v>296</v>
      </c>
      <c r="B20" s="573"/>
      <c r="C20" s="561" t="s">
        <v>567</v>
      </c>
      <c r="D20" s="574">
        <v>140</v>
      </c>
      <c r="E20" s="575">
        <f>ROUNDUP(D20/(CONVERT(10000000,"g","lbm"))*60,0)</f>
        <v>1</v>
      </c>
      <c r="F20" s="575" t="s">
        <v>300</v>
      </c>
      <c r="G20" s="287"/>
    </row>
    <row r="21" spans="1:7" x14ac:dyDescent="0.25">
      <c r="A21" s="555" t="s">
        <v>568</v>
      </c>
      <c r="B21" s="555"/>
      <c r="C21" s="555"/>
      <c r="D21" s="555"/>
      <c r="E21" s="555"/>
      <c r="F21" s="555"/>
      <c r="G21" s="555"/>
    </row>
    <row r="22" spans="1:7" ht="45" x14ac:dyDescent="0.25">
      <c r="A22" s="561" t="s">
        <v>562</v>
      </c>
      <c r="B22" s="561" t="s">
        <v>563</v>
      </c>
      <c r="C22" s="561" t="s">
        <v>564</v>
      </c>
      <c r="D22" s="574" t="s">
        <v>331</v>
      </c>
      <c r="E22" s="575">
        <f>10*14</f>
        <v>140</v>
      </c>
      <c r="F22" s="561" t="s">
        <v>298</v>
      </c>
      <c r="G22" s="390" t="s">
        <v>565</v>
      </c>
    </row>
    <row r="23" spans="1:7" ht="60" x14ac:dyDescent="0.25">
      <c r="A23" s="573" t="s">
        <v>296</v>
      </c>
      <c r="B23" s="573"/>
      <c r="C23" s="561" t="s">
        <v>569</v>
      </c>
      <c r="D23" s="574">
        <v>50000</v>
      </c>
      <c r="E23" s="575">
        <f>ROUND(0.35*CONVERT(D23,"lbm","g")/1000/1000,0)</f>
        <v>8</v>
      </c>
      <c r="F23" s="561" t="s">
        <v>300</v>
      </c>
      <c r="G23" s="390"/>
    </row>
    <row r="24" spans="1:7" x14ac:dyDescent="0.25">
      <c r="A24" s="555" t="s">
        <v>570</v>
      </c>
      <c r="B24" s="555"/>
      <c r="C24" s="555"/>
      <c r="D24" s="555"/>
      <c r="E24" s="555"/>
      <c r="F24" s="555"/>
      <c r="G24" s="555"/>
    </row>
    <row r="25" spans="1:7" ht="45" x14ac:dyDescent="0.25">
      <c r="A25" s="561" t="s">
        <v>562</v>
      </c>
      <c r="B25" s="561" t="s">
        <v>563</v>
      </c>
      <c r="C25" s="561" t="s">
        <v>564</v>
      </c>
      <c r="D25" s="574" t="s">
        <v>331</v>
      </c>
      <c r="E25" s="575">
        <f>10*14</f>
        <v>140</v>
      </c>
      <c r="F25" s="561" t="s">
        <v>298</v>
      </c>
      <c r="G25" s="390" t="s">
        <v>565</v>
      </c>
    </row>
    <row r="26" spans="1:7" ht="60" x14ac:dyDescent="0.25">
      <c r="A26" s="573" t="s">
        <v>296</v>
      </c>
      <c r="B26" s="573"/>
      <c r="C26" s="561" t="s">
        <v>571</v>
      </c>
      <c r="D26" s="574">
        <v>25000</v>
      </c>
      <c r="E26" s="575">
        <f>ROUND(0.35*CONVERT(D26,"lbm","g")/1000/1000,0)</f>
        <v>4</v>
      </c>
      <c r="F26" s="561" t="s">
        <v>300</v>
      </c>
      <c r="G26" s="390"/>
    </row>
  </sheetData>
  <sheetProtection algorithmName="SHA-512" hashValue="Ze1pZDt1wNeDsuzS2fgojOmrQMWitGERYwKHqGU967KEsI0YXmHps1VmxT0YJ/9DORXu2vXBL8Xbq8aJVxmIng==" saltValue="psZYKWy76aNoOAd/EVOHsA==" spinCount="100000" sheet="1" objects="1" scenarios="1"/>
  <mergeCells count="22">
    <mergeCell ref="A16:G16"/>
    <mergeCell ref="A21:G21"/>
    <mergeCell ref="G17:G18"/>
    <mergeCell ref="G19:G20"/>
    <mergeCell ref="A14:C14"/>
    <mergeCell ref="A18:B18"/>
    <mergeCell ref="A20:B20"/>
    <mergeCell ref="A24:G24"/>
    <mergeCell ref="G25:G26"/>
    <mergeCell ref="G22:G23"/>
    <mergeCell ref="A23:B23"/>
    <mergeCell ref="A26:B26"/>
    <mergeCell ref="G3:I3"/>
    <mergeCell ref="K4:N4"/>
    <mergeCell ref="K3:N3"/>
    <mergeCell ref="A13:E13"/>
    <mergeCell ref="F13:F15"/>
    <mergeCell ref="D14:E14"/>
    <mergeCell ref="G13:G15"/>
    <mergeCell ref="G4:I4"/>
    <mergeCell ref="A4:E4"/>
    <mergeCell ref="B5:C5"/>
  </mergeCells>
  <pageMargins left="0.7" right="0.7" top="0.75" bottom="0.75" header="0.3" footer="0.3"/>
  <pageSetup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DA48C7-9FAF-4B5A-A4FD-B0D7499C9350}">
  <sheetPr codeName="Sheet12"/>
  <dimension ref="A1:I28"/>
  <sheetViews>
    <sheetView zoomScale="80" zoomScaleNormal="80" workbookViewId="0">
      <selection activeCell="A2" sqref="A2"/>
    </sheetView>
  </sheetViews>
  <sheetFormatPr defaultRowHeight="15" x14ac:dyDescent="0.25"/>
  <cols>
    <col min="1" max="1" width="30" style="487" customWidth="1"/>
    <col min="2" max="2" width="19.140625" style="487" customWidth="1"/>
    <col min="3" max="3" width="26" style="487" customWidth="1"/>
    <col min="4" max="4" width="36.140625" style="487" customWidth="1"/>
    <col min="5" max="5" width="35.85546875" style="487" customWidth="1"/>
    <col min="6" max="6" width="18.5703125" style="487" customWidth="1"/>
    <col min="7" max="7" width="31.140625" style="487" customWidth="1"/>
    <col min="8" max="8" width="19.140625" style="487" customWidth="1"/>
    <col min="9" max="9" width="16.5703125" style="487" customWidth="1"/>
    <col min="10" max="16384" width="9.140625" style="487"/>
  </cols>
  <sheetData>
    <row r="1" spans="1:9" x14ac:dyDescent="0.25">
      <c r="A1" s="125" t="s">
        <v>572</v>
      </c>
    </row>
    <row r="2" spans="1:9" x14ac:dyDescent="0.25">
      <c r="A2" s="125"/>
    </row>
    <row r="3" spans="1:9" x14ac:dyDescent="0.25">
      <c r="A3" s="168" t="s">
        <v>573</v>
      </c>
      <c r="B3" s="168"/>
      <c r="C3" s="168"/>
      <c r="D3" s="168"/>
      <c r="E3" s="168"/>
      <c r="F3" s="646" t="s">
        <v>574</v>
      </c>
      <c r="G3" s="647"/>
    </row>
    <row r="4" spans="1:9" ht="29.25" x14ac:dyDescent="0.25">
      <c r="A4" s="603" t="s">
        <v>575</v>
      </c>
      <c r="B4" s="548" t="s">
        <v>576</v>
      </c>
      <c r="C4" s="548" t="s">
        <v>577</v>
      </c>
      <c r="D4" s="548" t="s">
        <v>578</v>
      </c>
      <c r="E4" s="548" t="s">
        <v>292</v>
      </c>
      <c r="F4" s="648" t="s">
        <v>579</v>
      </c>
      <c r="G4" s="648" t="s">
        <v>578</v>
      </c>
    </row>
    <row r="5" spans="1:9" x14ac:dyDescent="0.25">
      <c r="A5" s="202" t="s">
        <v>580</v>
      </c>
      <c r="B5" s="561" t="s">
        <v>581</v>
      </c>
      <c r="C5" s="561">
        <v>5</v>
      </c>
      <c r="D5" s="561" t="s">
        <v>582</v>
      </c>
      <c r="E5" s="561" t="s">
        <v>583</v>
      </c>
      <c r="F5" s="561">
        <f>C5/1000/1000</f>
        <v>5.0000000000000004E-6</v>
      </c>
      <c r="G5" s="561" t="s">
        <v>584</v>
      </c>
      <c r="H5" s="649" t="s">
        <v>585</v>
      </c>
      <c r="I5" s="650"/>
    </row>
    <row r="6" spans="1:9" x14ac:dyDescent="0.25">
      <c r="A6" s="202" t="s">
        <v>586</v>
      </c>
      <c r="B6" s="561" t="s">
        <v>581</v>
      </c>
      <c r="C6" s="561">
        <v>445</v>
      </c>
      <c r="D6" s="561" t="s">
        <v>587</v>
      </c>
      <c r="E6" s="561" t="s">
        <v>583</v>
      </c>
      <c r="F6" s="561">
        <f>C6/1000/1000</f>
        <v>4.4500000000000003E-4</v>
      </c>
      <c r="G6" s="561" t="s">
        <v>588</v>
      </c>
      <c r="H6" s="649"/>
      <c r="I6" s="650"/>
    </row>
    <row r="7" spans="1:9" ht="60" x14ac:dyDescent="0.25">
      <c r="A7" s="202" t="s">
        <v>586</v>
      </c>
      <c r="B7" s="561" t="s">
        <v>589</v>
      </c>
      <c r="C7" s="561">
        <v>100</v>
      </c>
      <c r="D7" s="561" t="s">
        <v>590</v>
      </c>
      <c r="E7" s="561" t="s">
        <v>583</v>
      </c>
      <c r="F7" s="561">
        <f>C7/1000/1000</f>
        <v>1E-4</v>
      </c>
      <c r="G7" s="561" t="s">
        <v>588</v>
      </c>
      <c r="H7" s="649"/>
      <c r="I7" s="650"/>
    </row>
    <row r="8" spans="1:9" ht="135" x14ac:dyDescent="0.25">
      <c r="A8" s="202" t="s">
        <v>580</v>
      </c>
      <c r="B8" s="561" t="s">
        <v>589</v>
      </c>
      <c r="C8" s="651">
        <f>C5*C7/C6</f>
        <v>1.1235955056179776</v>
      </c>
      <c r="D8" s="561" t="s">
        <v>591</v>
      </c>
      <c r="E8" s="561" t="s">
        <v>592</v>
      </c>
      <c r="F8" s="561">
        <f>C8/1000/1000</f>
        <v>1.1235955056179777E-6</v>
      </c>
      <c r="G8" s="561" t="s">
        <v>584</v>
      </c>
      <c r="H8" s="649"/>
      <c r="I8" s="650"/>
    </row>
    <row r="9" spans="1:9" x14ac:dyDescent="0.25">
      <c r="A9" s="125"/>
    </row>
    <row r="10" spans="1:9" x14ac:dyDescent="0.25">
      <c r="A10" s="125"/>
    </row>
    <row r="12" spans="1:9" x14ac:dyDescent="0.25">
      <c r="A12" s="567" t="s">
        <v>593</v>
      </c>
      <c r="B12" s="568"/>
      <c r="C12" s="568"/>
      <c r="D12" s="568"/>
      <c r="E12" s="569"/>
      <c r="F12" s="597"/>
      <c r="G12" s="557" t="s">
        <v>274</v>
      </c>
      <c r="H12" s="557"/>
      <c r="I12" s="557"/>
    </row>
    <row r="13" spans="1:9" ht="42.75" x14ac:dyDescent="0.25">
      <c r="A13" s="558" t="s">
        <v>120</v>
      </c>
      <c r="B13" s="558" t="s">
        <v>594</v>
      </c>
      <c r="C13" s="558" t="s">
        <v>595</v>
      </c>
      <c r="D13" s="558" t="s">
        <v>276</v>
      </c>
      <c r="E13" s="558" t="s">
        <v>277</v>
      </c>
      <c r="G13" s="134" t="s">
        <v>278</v>
      </c>
      <c r="H13" s="134" t="s">
        <v>279</v>
      </c>
      <c r="I13" s="134" t="s">
        <v>280</v>
      </c>
    </row>
    <row r="14" spans="1:9" ht="90" x14ac:dyDescent="0.25">
      <c r="A14" s="561" t="s">
        <v>596</v>
      </c>
      <c r="B14" s="652">
        <f>F7*0.5+F8*0.5</f>
        <v>5.0561797752808988E-5</v>
      </c>
      <c r="C14" s="652">
        <f>F5*0.5+F6*0.5</f>
        <v>2.2500000000000002E-4</v>
      </c>
      <c r="D14" s="561" t="s">
        <v>550</v>
      </c>
      <c r="E14" s="561" t="s">
        <v>597</v>
      </c>
      <c r="G14" s="642" t="s">
        <v>598</v>
      </c>
      <c r="H14" s="562">
        <f>B14</f>
        <v>5.0561797752808988E-5</v>
      </c>
      <c r="I14" s="562">
        <f>C14</f>
        <v>2.2500000000000002E-4</v>
      </c>
    </row>
    <row r="15" spans="1:9" ht="51" customHeight="1" x14ac:dyDescent="0.25">
      <c r="A15" s="561" t="s">
        <v>599</v>
      </c>
      <c r="B15" s="561">
        <v>0.01</v>
      </c>
      <c r="C15" s="561">
        <v>2.5000000000000001E-2</v>
      </c>
      <c r="D15" s="561" t="s">
        <v>600</v>
      </c>
      <c r="E15" s="561" t="s">
        <v>899</v>
      </c>
      <c r="G15" s="642" t="s">
        <v>90</v>
      </c>
      <c r="H15" s="562">
        <f>B15</f>
        <v>0.01</v>
      </c>
      <c r="I15" s="562">
        <f>C15</f>
        <v>2.5000000000000001E-2</v>
      </c>
    </row>
    <row r="16" spans="1:9" x14ac:dyDescent="0.25">
      <c r="A16" s="563"/>
      <c r="D16" s="563"/>
      <c r="E16" s="563"/>
      <c r="G16" s="653"/>
      <c r="H16" s="654"/>
      <c r="I16" s="654"/>
    </row>
    <row r="17" spans="1:9" x14ac:dyDescent="0.25">
      <c r="G17" s="653"/>
      <c r="H17" s="655"/>
      <c r="I17" s="655"/>
    </row>
    <row r="21" spans="1:9" x14ac:dyDescent="0.25">
      <c r="A21" s="555" t="s">
        <v>286</v>
      </c>
      <c r="B21" s="555"/>
      <c r="C21" s="555"/>
      <c r="D21" s="555"/>
      <c r="E21" s="555"/>
      <c r="F21" s="555" t="s">
        <v>287</v>
      </c>
      <c r="G21" s="555" t="s">
        <v>27</v>
      </c>
    </row>
    <row r="22" spans="1:9" x14ac:dyDescent="0.25">
      <c r="A22" s="555" t="s">
        <v>288</v>
      </c>
      <c r="B22" s="555"/>
      <c r="C22" s="555"/>
      <c r="D22" s="555" t="s">
        <v>289</v>
      </c>
      <c r="E22" s="555"/>
      <c r="F22" s="555"/>
      <c r="G22" s="555"/>
    </row>
    <row r="23" spans="1:9" ht="29.25" x14ac:dyDescent="0.25">
      <c r="A23" s="548" t="s">
        <v>290</v>
      </c>
      <c r="B23" s="548" t="s">
        <v>291</v>
      </c>
      <c r="C23" s="548" t="s">
        <v>292</v>
      </c>
      <c r="D23" s="548" t="s">
        <v>293</v>
      </c>
      <c r="E23" s="548" t="s">
        <v>294</v>
      </c>
      <c r="F23" s="555"/>
      <c r="G23" s="555"/>
    </row>
    <row r="24" spans="1:9" x14ac:dyDescent="0.25">
      <c r="A24" s="555" t="s">
        <v>561</v>
      </c>
      <c r="B24" s="555"/>
      <c r="C24" s="555"/>
      <c r="D24" s="555"/>
      <c r="E24" s="555"/>
      <c r="F24" s="555"/>
      <c r="G24" s="555"/>
    </row>
    <row r="25" spans="1:9" ht="77.25" customHeight="1" x14ac:dyDescent="0.25">
      <c r="A25" s="573" t="s">
        <v>296</v>
      </c>
      <c r="B25" s="573"/>
      <c r="C25" s="573" t="s">
        <v>601</v>
      </c>
      <c r="D25" s="656">
        <v>100000</v>
      </c>
      <c r="E25" s="202">
        <v>300</v>
      </c>
      <c r="F25" s="575" t="s">
        <v>298</v>
      </c>
      <c r="G25" s="573" t="s">
        <v>602</v>
      </c>
    </row>
    <row r="26" spans="1:9" ht="51" customHeight="1" x14ac:dyDescent="0.25">
      <c r="A26" s="573"/>
      <c r="B26" s="573"/>
      <c r="C26" s="573"/>
      <c r="D26" s="656">
        <v>100000</v>
      </c>
      <c r="E26" s="202">
        <f>ROUND(0.35*CONVERT(D26,"lbm","g")/1000/1000,0)</f>
        <v>16</v>
      </c>
      <c r="F26" s="575" t="s">
        <v>300</v>
      </c>
      <c r="G26" s="573"/>
    </row>
    <row r="27" spans="1:9" ht="40.5" customHeight="1" x14ac:dyDescent="0.25">
      <c r="A27" s="561">
        <v>3</v>
      </c>
      <c r="B27" s="561" t="s">
        <v>603</v>
      </c>
      <c r="C27" s="390" t="s">
        <v>900</v>
      </c>
      <c r="D27" s="574" t="s">
        <v>331</v>
      </c>
      <c r="E27" s="202">
        <v>3</v>
      </c>
      <c r="F27" s="575" t="s">
        <v>298</v>
      </c>
      <c r="G27" s="573" t="s">
        <v>605</v>
      </c>
    </row>
    <row r="28" spans="1:9" ht="42" customHeight="1" x14ac:dyDescent="0.25">
      <c r="A28" s="561">
        <v>1</v>
      </c>
      <c r="B28" s="561" t="s">
        <v>603</v>
      </c>
      <c r="C28" s="390"/>
      <c r="D28" s="574" t="s">
        <v>331</v>
      </c>
      <c r="E28" s="202">
        <v>1</v>
      </c>
      <c r="F28" s="575" t="s">
        <v>300</v>
      </c>
      <c r="G28" s="573"/>
    </row>
  </sheetData>
  <sheetProtection algorithmName="SHA-512" hashValue="JR0Qn3BzSSpOtBB/+zeQ6myEkAD1ADnRC/T4RE9Pt8EhG1b+I1LhwmyIgznt/U/skMGKiaGAY3/MiDcS8jiG2w==" saltValue="5WahrX54Db26kS6NydY28w==" spinCount="100000" sheet="1" objects="1" scenarios="1"/>
  <mergeCells count="16">
    <mergeCell ref="C27:C28"/>
    <mergeCell ref="G27:G28"/>
    <mergeCell ref="A22:C22"/>
    <mergeCell ref="G25:G26"/>
    <mergeCell ref="A24:G24"/>
    <mergeCell ref="A3:E3"/>
    <mergeCell ref="F3:G3"/>
    <mergeCell ref="A12:E12"/>
    <mergeCell ref="G12:I12"/>
    <mergeCell ref="A25:B26"/>
    <mergeCell ref="C25:C26"/>
    <mergeCell ref="A21:E21"/>
    <mergeCell ref="F21:F23"/>
    <mergeCell ref="G21:G23"/>
    <mergeCell ref="D22:E22"/>
    <mergeCell ref="H5:I8"/>
  </mergeCells>
  <pageMargins left="0.7" right="0.7" top="0.75" bottom="0.75" header="0.3" footer="0.3"/>
  <pageSetup orientation="portrait" horizontalDpi="1200" verticalDpi="12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2B8368-4783-40D9-835D-E380754C3611}">
  <sheetPr codeName="Sheet14">
    <tabColor rgb="FFFF0000"/>
  </sheetPr>
  <dimension ref="A1:D35"/>
  <sheetViews>
    <sheetView workbookViewId="0">
      <pane ySplit="4" topLeftCell="A5" activePane="bottomLeft" state="frozen"/>
      <selection pane="bottomLeft" activeCell="A5" sqref="A5"/>
    </sheetView>
  </sheetViews>
  <sheetFormatPr defaultRowHeight="15" x14ac:dyDescent="0.25"/>
  <cols>
    <col min="1" max="1" width="28.5703125" style="5" customWidth="1"/>
    <col min="2" max="2" width="20.28515625" style="5" customWidth="1"/>
    <col min="3" max="3" width="31.85546875" style="5" customWidth="1"/>
    <col min="4" max="4" width="38.140625" style="5" customWidth="1"/>
    <col min="5" max="16384" width="9.140625" style="5"/>
  </cols>
  <sheetData>
    <row r="1" spans="1:3" x14ac:dyDescent="0.25">
      <c r="A1" t="s">
        <v>606</v>
      </c>
    </row>
    <row r="2" spans="1:3" x14ac:dyDescent="0.25">
      <c r="A2" s="10" t="s">
        <v>607</v>
      </c>
      <c r="B2" s="18"/>
    </row>
    <row r="3" spans="1:3" x14ac:dyDescent="0.25">
      <c r="A3"/>
    </row>
    <row r="4" spans="1:3" x14ac:dyDescent="0.25">
      <c r="A4" s="17" t="s">
        <v>292</v>
      </c>
      <c r="B4" s="17" t="s">
        <v>608</v>
      </c>
      <c r="C4" s="17" t="s">
        <v>609</v>
      </c>
    </row>
    <row r="5" spans="1:3" ht="60" x14ac:dyDescent="0.25">
      <c r="A5" s="37" t="s">
        <v>610</v>
      </c>
      <c r="B5" s="31" t="e">
        <f>B35</f>
        <v>#REF!</v>
      </c>
      <c r="C5" s="21" t="s">
        <v>611</v>
      </c>
    </row>
    <row r="6" spans="1:3" ht="30" x14ac:dyDescent="0.25">
      <c r="A6" s="37" t="s">
        <v>612</v>
      </c>
      <c r="B6" s="31">
        <f>0.035/42000</f>
        <v>8.3333333333333344E-7</v>
      </c>
      <c r="C6" s="21" t="s">
        <v>613</v>
      </c>
    </row>
    <row r="7" spans="1:3" ht="45" x14ac:dyDescent="0.25">
      <c r="A7" s="37" t="s">
        <v>614</v>
      </c>
      <c r="B7" s="31">
        <f>(0.033)/14120</f>
        <v>2.3371104815864024E-6</v>
      </c>
      <c r="C7" s="21" t="s">
        <v>615</v>
      </c>
    </row>
    <row r="9" spans="1:3" x14ac:dyDescent="0.25">
      <c r="A9" s="35" t="s">
        <v>616</v>
      </c>
      <c r="B9" s="36" t="e">
        <f>_xlfn.PERCENTILE.INC(B5:B7,0.5)</f>
        <v>#REF!</v>
      </c>
      <c r="C9" s="35" t="s">
        <v>616</v>
      </c>
    </row>
    <row r="10" spans="1:3" x14ac:dyDescent="0.25">
      <c r="A10" s="35" t="s">
        <v>617</v>
      </c>
      <c r="B10" s="36" t="e">
        <f>MAX(B5:B7)</f>
        <v>#REF!</v>
      </c>
      <c r="C10" s="35" t="s">
        <v>617</v>
      </c>
    </row>
    <row r="15" spans="1:3" ht="30" customHeight="1" x14ac:dyDescent="0.25">
      <c r="A15" s="115" t="s">
        <v>618</v>
      </c>
      <c r="B15" s="115"/>
      <c r="C15" s="115"/>
    </row>
    <row r="16" spans="1:3" x14ac:dyDescent="0.25">
      <c r="A16" s="5" t="s">
        <v>619</v>
      </c>
      <c r="B16" s="5">
        <f>'Exp. Scen. 8_No. of Sites'!B4</f>
        <v>45359.237000000001</v>
      </c>
      <c r="C16" s="5" t="s">
        <v>620</v>
      </c>
    </row>
    <row r="17" spans="1:4" x14ac:dyDescent="0.25">
      <c r="A17" s="5" t="s">
        <v>621</v>
      </c>
      <c r="B17" s="41">
        <f>'Exp. Scen. 8_No. of Sites'!G14</f>
        <v>34.369307298296661</v>
      </c>
      <c r="C17" s="5" t="s">
        <v>622</v>
      </c>
    </row>
    <row r="19" spans="1:4" x14ac:dyDescent="0.25">
      <c r="A19" s="114" t="s">
        <v>623</v>
      </c>
      <c r="B19" s="39">
        <v>100000000</v>
      </c>
      <c r="C19" s="5" t="s">
        <v>624</v>
      </c>
    </row>
    <row r="20" spans="1:4" x14ac:dyDescent="0.25">
      <c r="A20" s="114"/>
      <c r="B20" s="5">
        <f>CONVERT(B19,"lbm","g")/1000</f>
        <v>45359237</v>
      </c>
      <c r="C20" s="5" t="s">
        <v>620</v>
      </c>
    </row>
    <row r="21" spans="1:4" x14ac:dyDescent="0.25">
      <c r="A21" s="5" t="s">
        <v>625</v>
      </c>
      <c r="B21" s="40">
        <f>B17*B20/B16</f>
        <v>34369.307298296662</v>
      </c>
      <c r="C21" s="5" t="s">
        <v>622</v>
      </c>
    </row>
    <row r="24" spans="1:4" x14ac:dyDescent="0.25">
      <c r="A24" s="115" t="s">
        <v>626</v>
      </c>
      <c r="B24" s="115"/>
      <c r="C24" s="115"/>
      <c r="D24" s="49" t="s">
        <v>292</v>
      </c>
    </row>
    <row r="25" spans="1:4" x14ac:dyDescent="0.25">
      <c r="A25" s="5" t="s">
        <v>627</v>
      </c>
      <c r="B25" s="5" t="e">
        <f>'Release Calculations - 100k lbs'!#REF!</f>
        <v>#REF!</v>
      </c>
      <c r="C25" s="5" t="s">
        <v>628</v>
      </c>
    </row>
    <row r="26" spans="1:4" x14ac:dyDescent="0.25">
      <c r="A26" s="5" t="s">
        <v>629</v>
      </c>
      <c r="B26" s="5">
        <f>'Exp. Scen. 8_No. of Sites'!B20</f>
        <v>1.35E-2</v>
      </c>
      <c r="C26" s="5" t="s">
        <v>630</v>
      </c>
      <c r="D26" s="5" t="s">
        <v>631</v>
      </c>
    </row>
    <row r="27" spans="1:4" x14ac:dyDescent="0.25">
      <c r="A27" s="5" t="s">
        <v>632</v>
      </c>
      <c r="B27" s="5" t="e">
        <f>B25/B26</f>
        <v>#REF!</v>
      </c>
      <c r="C27" s="5" t="s">
        <v>633</v>
      </c>
      <c r="D27" s="5" t="s">
        <v>634</v>
      </c>
    </row>
    <row r="28" spans="1:4" ht="30" x14ac:dyDescent="0.25">
      <c r="A28" s="5" t="s">
        <v>635</v>
      </c>
      <c r="B28" s="5">
        <f>'Exp. Scen. 8_No. of Sites'!B9</f>
        <v>40</v>
      </c>
      <c r="C28" s="5" t="s">
        <v>636</v>
      </c>
      <c r="D28" s="5" t="s">
        <v>637</v>
      </c>
    </row>
    <row r="29" spans="1:4" x14ac:dyDescent="0.25">
      <c r="A29" s="5" t="s">
        <v>638</v>
      </c>
      <c r="B29" s="5" t="e">
        <f>B27/B28</f>
        <v>#REF!</v>
      </c>
      <c r="C29" s="5" t="s">
        <v>639</v>
      </c>
      <c r="D29" s="5" t="s">
        <v>634</v>
      </c>
    </row>
    <row r="30" spans="1:4" x14ac:dyDescent="0.25">
      <c r="A30" s="5" t="s">
        <v>640</v>
      </c>
      <c r="B30" s="5">
        <f>'Exp. Scen. 8_No. of Sites'!A12</f>
        <v>0.06</v>
      </c>
      <c r="C30" s="5" t="s">
        <v>641</v>
      </c>
      <c r="D30" s="5" t="s">
        <v>610</v>
      </c>
    </row>
    <row r="31" spans="1:4" x14ac:dyDescent="0.25">
      <c r="A31" s="5" t="s">
        <v>642</v>
      </c>
      <c r="B31" s="40" t="e">
        <f>B29/B30</f>
        <v>#REF!</v>
      </c>
      <c r="C31" s="5" t="s">
        <v>643</v>
      </c>
      <c r="D31" s="5" t="s">
        <v>634</v>
      </c>
    </row>
    <row r="33" spans="1:3" x14ac:dyDescent="0.25">
      <c r="A33" s="5" t="s">
        <v>644</v>
      </c>
      <c r="B33" s="50">
        <v>5</v>
      </c>
      <c r="C33" s="5" t="s">
        <v>645</v>
      </c>
    </row>
    <row r="34" spans="1:3" x14ac:dyDescent="0.25">
      <c r="B34" s="41" t="e">
        <f>B33*B31/(1000000000)</f>
        <v>#REF!</v>
      </c>
      <c r="C34" s="5" t="s">
        <v>646</v>
      </c>
    </row>
    <row r="35" spans="1:3" x14ac:dyDescent="0.25">
      <c r="A35" s="5" t="s">
        <v>647</v>
      </c>
      <c r="B35" s="5" t="e">
        <f>B34/B25</f>
        <v>#REF!</v>
      </c>
    </row>
  </sheetData>
  <mergeCells count="3">
    <mergeCell ref="A19:A20"/>
    <mergeCell ref="A15:C15"/>
    <mergeCell ref="A24:C24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8DF5A4-9B60-4FBE-B851-12EA0F7A6932}">
  <sheetPr codeName="Sheet1"/>
  <dimension ref="A1:B23"/>
  <sheetViews>
    <sheetView workbookViewId="0">
      <pane ySplit="3" topLeftCell="A10" activePane="bottomLeft" state="frozen"/>
      <selection activeCell="B4" sqref="B4"/>
      <selection pane="bottomLeft" activeCell="A2" sqref="A2"/>
    </sheetView>
  </sheetViews>
  <sheetFormatPr defaultRowHeight="15" x14ac:dyDescent="0.25"/>
  <cols>
    <col min="1" max="1" width="41.85546875" style="125" customWidth="1"/>
    <col min="2" max="2" width="158.5703125" style="125" bestFit="1" customWidth="1"/>
    <col min="3" max="16384" width="9.140625" style="125"/>
  </cols>
  <sheetData>
    <row r="1" spans="1:2" ht="20.25" x14ac:dyDescent="0.3">
      <c r="A1" s="124" t="s">
        <v>3</v>
      </c>
    </row>
    <row r="2" spans="1:2" x14ac:dyDescent="0.25">
      <c r="B2" s="126"/>
    </row>
    <row r="3" spans="1:2" x14ac:dyDescent="0.25">
      <c r="A3" s="127" t="s">
        <v>4</v>
      </c>
      <c r="B3" s="127" t="s">
        <v>5</v>
      </c>
    </row>
    <row r="4" spans="1:2" s="129" customFormat="1" x14ac:dyDescent="0.25">
      <c r="A4" s="128" t="s">
        <v>6</v>
      </c>
      <c r="B4" s="129" t="str">
        <f>'Exposure Scenario (Exp. Scen.)'!A1</f>
        <v>This tab contains a list of the exposure scenarios included in this spreadsheet.</v>
      </c>
    </row>
    <row r="5" spans="1:2" x14ac:dyDescent="0.25">
      <c r="A5" s="130" t="s">
        <v>7</v>
      </c>
      <c r="B5" s="125" t="str">
        <f>'Release Calculations - 100k lbs'!A1</f>
        <v>This tab contains calculations of the release estimates presented in the assessment of environmental releases. These calculations assume 100,000 lbs HBCD/year. Supporting information / data is in subsequent tabs.</v>
      </c>
    </row>
    <row r="6" spans="1:2" x14ac:dyDescent="0.25">
      <c r="A6" s="130" t="s">
        <v>8</v>
      </c>
      <c r="B6" s="125" t="str">
        <f>'Release Results 100k lbs'!A1</f>
        <v>This tab contains a summary of releases, assuming a production volume of 100,000 lbs HBCD/yr.</v>
      </c>
    </row>
    <row r="7" spans="1:2" x14ac:dyDescent="0.25">
      <c r="A7" s="130" t="s">
        <v>9</v>
      </c>
      <c r="B7" s="125" t="str">
        <f>'Release Calculations - 50k lbs'!A1</f>
        <v>This tab contains calculations of the release estimates presented in the assessment of environmental releases. These calculations assume 50,000 lbs HBCD/year. Supporting information / data is in subsequent tabs.</v>
      </c>
    </row>
    <row r="8" spans="1:2" x14ac:dyDescent="0.25">
      <c r="A8" s="130" t="s">
        <v>10</v>
      </c>
      <c r="B8" s="125" t="str">
        <f>'Release Results 50k lbs'!A1</f>
        <v>This tab contains a summary of releases, assuming a production volume of 50,000 lbs HBCD/yr.</v>
      </c>
    </row>
    <row r="9" spans="1:2" x14ac:dyDescent="0.25">
      <c r="A9" s="130" t="s">
        <v>11</v>
      </c>
      <c r="B9" s="125" t="str">
        <f>'Release Calculations - 25k lbs'!A1</f>
        <v>This tab contains calculations of the release estimates presented in the assessment of environmental releases. These calculations assume 25,000 lbs HBCD/year. Supporting information / data is in subsequent tabs.</v>
      </c>
    </row>
    <row r="10" spans="1:2" x14ac:dyDescent="0.25">
      <c r="A10" s="130" t="s">
        <v>12</v>
      </c>
      <c r="B10" s="125" t="str">
        <f>'Release Results 25k lbs'!A1</f>
        <v>This tab contains a summary of releases, assuming a production volume of 25,000 lbs HBCD/yr.</v>
      </c>
    </row>
    <row r="11" spans="1:2" x14ac:dyDescent="0.25">
      <c r="A11" s="130" t="s">
        <v>13</v>
      </c>
      <c r="B11" s="125" t="str">
        <f>'Release Days and Sites'!A1</f>
        <v xml:space="preserve">This tab contains a summary of the number of release days and sites estimated for each exposure scenario and used in the release calculations. </v>
      </c>
    </row>
    <row r="12" spans="1:2" x14ac:dyDescent="0.25">
      <c r="A12" s="128" t="s">
        <v>14</v>
      </c>
      <c r="B12" s="125" t="str">
        <f>'Releases_Exp. Scen. 1'!A1</f>
        <v>This tab contains a summary of emission factors and release days/year for exposure scenario 1, Repackaging of import containers.</v>
      </c>
    </row>
    <row r="13" spans="1:2" x14ac:dyDescent="0.25">
      <c r="A13" s="131" t="s">
        <v>15</v>
      </c>
      <c r="B13" s="125" t="str">
        <f>'Releases_Exp. Scen. 2'!A1</f>
        <v>This tab contains a summary of emission factors and release days/year for exposure scenario 2, Compounding of Polystyrene Resin to Produce XPS Masterbatch.</v>
      </c>
    </row>
    <row r="14" spans="1:2" x14ac:dyDescent="0.25">
      <c r="A14" s="131" t="s">
        <v>16</v>
      </c>
      <c r="B14" s="125" t="str">
        <f>'Releases_Exp. Scen. 3'!A1</f>
        <v>This tab contains a summary of emission factors and release days/year for exposure scenario 3, Processing of HBCD to Produce XPS Foam using XPS Masterbatch.</v>
      </c>
    </row>
    <row r="15" spans="1:2" x14ac:dyDescent="0.25">
      <c r="A15" s="131" t="s">
        <v>17</v>
      </c>
      <c r="B15" s="125" t="str">
        <f>'Releases_Exp. Scen. 4_EURAR'!A1</f>
        <v>This tab contains a summary of emission factors and release days/year for exposure scenario 4, Processing of HBCD to Produce XPS Foam using HBCD Powder.</v>
      </c>
    </row>
    <row r="16" spans="1:2" x14ac:dyDescent="0.25">
      <c r="A16" s="128" t="s">
        <v>18</v>
      </c>
      <c r="B16" s="125" t="str">
        <f>'Releases_Exp. Scen. 4_TRI'!A1</f>
        <v>This tab contains a summary of 2017 TRI data for exposure scenario 4, Processing of HBCD to Produce XPS Foam using HBCD Powder.</v>
      </c>
    </row>
    <row r="17" spans="1:2" x14ac:dyDescent="0.25">
      <c r="A17" s="128" t="s">
        <v>19</v>
      </c>
      <c r="B17" s="125" t="str">
        <f>'Releases_Exp. Scen. 5 and 10'!A1</f>
        <v>This tab contains a summary of emission factors and release days/year for exposure scenario 5, Processing of HBCD to Produce EPS Foam from Imported EPS Resin Beads, and exposure scenario 10, Processing: Recycling of EPS Foam and Reuse of XPS Foam.</v>
      </c>
    </row>
    <row r="18" spans="1:2" x14ac:dyDescent="0.25">
      <c r="A18" s="128" t="s">
        <v>20</v>
      </c>
      <c r="B18" s="125" t="str">
        <f>'Releases_Exp. Scen. 6 and 8'!A1</f>
        <v>This tab contains a summary of emission factors and release days/year for exposure scenario 6, Processing to Produce SIPs and Automobile Replacement Parts from XPS/EPS Foam, and exposure scenario 8, Use: Installation of XPS/EPS Foam Insulation in Residential, Public, and Commercial Buildings, and Other Structures.</v>
      </c>
    </row>
    <row r="19" spans="1:2" x14ac:dyDescent="0.25">
      <c r="A19" s="128" t="s">
        <v>21</v>
      </c>
      <c r="B19" s="125" t="str">
        <f>'Releases_Exp. Scen. 9'!A1</f>
        <v>This tab contains a summary of emission factors for exposure scenario 9, Demolition and Disposal of XPS/EPS Foam Insulation Products in Residential, Public and Commercial Buildings, and Other Structures.</v>
      </c>
    </row>
    <row r="20" spans="1:2" x14ac:dyDescent="0.25">
      <c r="A20" s="128" t="s">
        <v>22</v>
      </c>
      <c r="B20" s="125" t="str">
        <f>'Releases_Exp. Scen. 11'!A1</f>
        <v>This tab contains a summary of 2017 TRI data for exposure scenario 11, Formulation of Flux/Solder Pastes.</v>
      </c>
    </row>
    <row r="21" spans="1:2" x14ac:dyDescent="0.25">
      <c r="A21" s="128" t="s">
        <v>23</v>
      </c>
      <c r="B21" s="125" t="str">
        <f>'Releases_Exp. Scen. 12'!A1</f>
        <v>This tab contains a summary of emission factors and release days/year for exposure scenario 12, Use of Flux / Solder Pastes.</v>
      </c>
    </row>
    <row r="22" spans="1:2" x14ac:dyDescent="0.25">
      <c r="A22" s="128" t="s">
        <v>24</v>
      </c>
      <c r="B22" s="125" t="str">
        <f>'Releases_Exp. Scen. 13'!A1</f>
        <v>This tab contains a summary of emission factors and release days/year for exposure scenario 13, Recycling of electronics waste containing HIPS.</v>
      </c>
    </row>
    <row r="23" spans="1:2" x14ac:dyDescent="0.25">
      <c r="A23" s="128" t="s">
        <v>25</v>
      </c>
      <c r="B23" s="125" t="str">
        <f>'Exp. Scen. 8_No. of Sites'!A1</f>
        <v>This tab presents a calculation of the number of construction sites for exposure scenario 8, Use: Installation of XPS/EPS Foam Insulation in Residential, Public, and Commercial Buildings, and Other Structures.</v>
      </c>
    </row>
  </sheetData>
  <sheetProtection algorithmName="SHA-512" hashValue="YoFJG2thxW9vRGzIMBwu2L4bRhSLxkCA1MKdQnrLqBwSleSzMm7Nxa2UR0OgA83NXxvkDJRRYBCVQ8O07n1xAA==" saltValue="494LGcR6n3DJKH/d3O6Apw==" spinCount="100000" sheet="1" objects="1" scenarios="1"/>
  <hyperlinks>
    <hyperlink ref="A4" location="'Table of Contents'!A1" display="Exposure Scenario (Exp. Scen.)" xr:uid="{713A1000-7E4F-4DAB-A4F7-2E5C02B979D6}"/>
    <hyperlink ref="A5" location="'Release Calculations - 100k lbs'!A1" display="Release Calculations - 100k lbs" xr:uid="{5D0515E7-8358-429C-A886-C6D2B5A20B52}"/>
    <hyperlink ref="A6" location="'Release Results 100k lbs'!A1" display="'Release Results 100k lbs" xr:uid="{E5B5C78B-CC54-44E1-9321-E9451031527B}"/>
    <hyperlink ref="A7" location="'Release Calculations - 50k lbs'!A1" display="'Release Calculations - 50k lbs" xr:uid="{76DE82D7-C36F-4E03-AD72-CEB1F3280545}"/>
    <hyperlink ref="A8" location="'Release Results 50k lbs'!A1" display="'Release Results 50k lbs" xr:uid="{B7711D0F-86DD-45F2-9EF6-DB944FF95D93}"/>
    <hyperlink ref="A9" location="'Release Calculations - 25k lbs'!A1" display="'Release Calculations - 25k lbs" xr:uid="{E3BC0F39-DDA7-41BE-A721-AC39245FBD16}"/>
    <hyperlink ref="A10" location="'Release Results 25k lbs'!A1" display="'Release Results 25k lbs" xr:uid="{9F3DA2C5-AAA7-4D03-8CFB-6FC2917AE847}"/>
    <hyperlink ref="A11" location="'Release Days and Sites'!A1" display="'Release Days and Sites" xr:uid="{C70255D2-94BB-4B04-9073-5E590EB3F0CB}"/>
    <hyperlink ref="A12" location="'Releases_Exp. Scen. 1'!A1" display="Releases_Exp. Scen. 1" xr:uid="{7EECEB4C-A107-4A04-A527-F6D66AB402C7}"/>
    <hyperlink ref="A13" location="'Releases_Exp. Scen. 2'!A1" display="Releases_Exp. Scen. 2" xr:uid="{48C8CB8E-4B7B-46C0-BC65-DDF8884EFBAF}"/>
    <hyperlink ref="A14" location="'Releases_Exp. Scen. 3'!A1" display="Releases_Exp. Scen. 3" xr:uid="{E76B1AE4-EC3F-45F8-AAF3-DE25ED8D0DD9}"/>
    <hyperlink ref="A15" location="'Releases_Exp. Scen. 4_EURAR'!A1" display="Releases_Exp. Scen. 4_EURAR" xr:uid="{AE594E65-1E6C-4B2F-B175-02D15709EF1D}"/>
    <hyperlink ref="A16" location="'Releases_Exp. Scen. 4_TRI'!A1" display="Releases_Exp. Scen. 4_TRI" xr:uid="{ED850AC5-E755-4D22-BC30-79B870909835}"/>
    <hyperlink ref="A17" location="'Releases_Exp. Scen. 5 and 10'!A1" display="'Releases_Exp. Scen. 5 and 10" xr:uid="{6F837497-1332-422E-BC1C-67A1A3FD0F53}"/>
    <hyperlink ref="A18" location="'Releases_Exp. Scen. 6 and 8'!A1" display="'Releases_Exp. Scen. 6 and 8" xr:uid="{8056EA91-A4FB-4C00-A8FA-69259EB483CA}"/>
    <hyperlink ref="A19" location="'Releases_Exp. Scen. 9'!A1" display="'Releases_Exp. Scen. 9" xr:uid="{FB6F54CC-D03A-490C-A580-DC464129D4B0}"/>
    <hyperlink ref="A20" location="'Releases_Exp. Scen. 11'!A1" display="'Releases_Exp. Scen. 11" xr:uid="{4C25BD05-D323-4D2D-A39E-A6B1D2C56AC7}"/>
    <hyperlink ref="A21" location="'Releases_Exp. Scen. 12'!A1" display="'Releases_Exp. Scen. 12" xr:uid="{B52AA071-2654-409C-A9DE-58D2906F28B0}"/>
    <hyperlink ref="A23" location="'Releases_Exp. Scen. 12'!A1" display="Exp. Scen. 8_No. of Sites" xr:uid="{7EB62D2A-B1AA-4C9E-BF5F-DF1A5C501D6B}"/>
    <hyperlink ref="A22" location="'Releases_Exp. Scen. 13'!A1" display="Releases_Exp. Scen. 13" xr:uid="{9389302D-3AD3-40F9-A809-EDC792950F03}"/>
  </hyperlinks>
  <pageMargins left="0.7" right="0.7" top="0.75" bottom="0.75" header="0.3" footer="0.3"/>
  <pageSetup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10CE4D-EFD5-41F8-A131-1744AE7AE4E7}">
  <sheetPr codeName="Sheet15"/>
  <dimension ref="A1:I20"/>
  <sheetViews>
    <sheetView workbookViewId="0">
      <selection activeCell="A2" sqref="A2"/>
    </sheetView>
  </sheetViews>
  <sheetFormatPr defaultRowHeight="15" x14ac:dyDescent="0.25"/>
  <cols>
    <col min="1" max="1" width="30" style="487" customWidth="1"/>
    <col min="2" max="2" width="19.85546875" style="487" customWidth="1"/>
    <col min="3" max="3" width="26" style="487" customWidth="1"/>
    <col min="4" max="4" width="36.140625" style="487" customWidth="1"/>
    <col min="5" max="5" width="35.85546875" style="487" customWidth="1"/>
    <col min="6" max="6" width="18.5703125" style="487" customWidth="1"/>
    <col min="7" max="7" width="31.140625" style="487" customWidth="1"/>
    <col min="8" max="16384" width="9.140625" style="487"/>
  </cols>
  <sheetData>
    <row r="1" spans="1:9" x14ac:dyDescent="0.25">
      <c r="A1" s="125" t="s">
        <v>648</v>
      </c>
    </row>
    <row r="3" spans="1:9" x14ac:dyDescent="0.25">
      <c r="A3" s="168" t="s">
        <v>573</v>
      </c>
      <c r="B3" s="168"/>
      <c r="C3" s="168"/>
      <c r="D3" s="168"/>
      <c r="E3" s="168"/>
      <c r="F3" s="646" t="s">
        <v>574</v>
      </c>
      <c r="G3" s="647"/>
    </row>
    <row r="4" spans="1:9" ht="29.25" x14ac:dyDescent="0.25">
      <c r="A4" s="603" t="s">
        <v>575</v>
      </c>
      <c r="B4" s="548" t="s">
        <v>576</v>
      </c>
      <c r="C4" s="548" t="s">
        <v>577</v>
      </c>
      <c r="D4" s="548" t="s">
        <v>578</v>
      </c>
      <c r="E4" s="548" t="s">
        <v>292</v>
      </c>
      <c r="F4" s="648" t="s">
        <v>579</v>
      </c>
      <c r="G4" s="648" t="s">
        <v>578</v>
      </c>
    </row>
    <row r="5" spans="1:9" ht="30" x14ac:dyDescent="0.25">
      <c r="A5" s="202" t="s">
        <v>586</v>
      </c>
      <c r="B5" s="561" t="s">
        <v>649</v>
      </c>
      <c r="C5" s="561">
        <v>90</v>
      </c>
      <c r="D5" s="561" t="s">
        <v>650</v>
      </c>
      <c r="E5" s="561" t="s">
        <v>651</v>
      </c>
      <c r="F5" s="561">
        <f>C5/1000/1000</f>
        <v>8.9999999999999992E-5</v>
      </c>
      <c r="G5" s="561" t="s">
        <v>652</v>
      </c>
    </row>
    <row r="6" spans="1:9" ht="30" x14ac:dyDescent="0.25">
      <c r="A6" s="202" t="s">
        <v>580</v>
      </c>
      <c r="B6" s="561" t="s">
        <v>653</v>
      </c>
      <c r="C6" s="657">
        <v>0</v>
      </c>
      <c r="D6" s="561" t="s">
        <v>654</v>
      </c>
      <c r="E6" s="561" t="s">
        <v>651</v>
      </c>
      <c r="F6" s="561">
        <f>C6/1000/1000</f>
        <v>0</v>
      </c>
      <c r="G6" s="561" t="s">
        <v>655</v>
      </c>
    </row>
    <row r="7" spans="1:9" ht="120" x14ac:dyDescent="0.25">
      <c r="A7" s="339" t="s">
        <v>586</v>
      </c>
      <c r="B7" s="575" t="s">
        <v>589</v>
      </c>
      <c r="C7" s="575">
        <f>100/0.1</f>
        <v>1000</v>
      </c>
      <c r="D7" s="575" t="s">
        <v>590</v>
      </c>
      <c r="E7" s="575" t="s">
        <v>656</v>
      </c>
      <c r="F7" s="575">
        <f>C7/1000/1000</f>
        <v>1E-3</v>
      </c>
      <c r="G7" s="575" t="s">
        <v>588</v>
      </c>
    </row>
    <row r="8" spans="1:9" ht="120" x14ac:dyDescent="0.25">
      <c r="A8" s="339" t="s">
        <v>580</v>
      </c>
      <c r="B8" s="575" t="s">
        <v>589</v>
      </c>
      <c r="C8" s="658">
        <f>'Releases_Exp. Scen. 6 and 8'!C8/0.1</f>
        <v>11.235955056179776</v>
      </c>
      <c r="D8" s="575" t="s">
        <v>591</v>
      </c>
      <c r="E8" s="575" t="s">
        <v>657</v>
      </c>
      <c r="F8" s="645">
        <f>C8/1000/1000</f>
        <v>1.1235955056179776E-5</v>
      </c>
      <c r="G8" s="575" t="s">
        <v>584</v>
      </c>
    </row>
    <row r="9" spans="1:9" x14ac:dyDescent="0.25">
      <c r="A9" s="125"/>
    </row>
    <row r="10" spans="1:9" x14ac:dyDescent="0.25">
      <c r="H10" s="638"/>
    </row>
    <row r="11" spans="1:9" ht="15" customHeight="1" x14ac:dyDescent="0.25">
      <c r="A11" s="567" t="s">
        <v>593</v>
      </c>
      <c r="B11" s="568"/>
      <c r="C11" s="568"/>
      <c r="D11" s="568"/>
      <c r="E11" s="569"/>
      <c r="G11" s="659" t="s">
        <v>274</v>
      </c>
      <c r="H11" s="660"/>
      <c r="I11" s="660"/>
    </row>
    <row r="12" spans="1:9" ht="42.75" x14ac:dyDescent="0.25">
      <c r="A12" s="558" t="s">
        <v>120</v>
      </c>
      <c r="B12" s="558" t="s">
        <v>658</v>
      </c>
      <c r="C12" s="558" t="s">
        <v>659</v>
      </c>
      <c r="D12" s="558" t="s">
        <v>276</v>
      </c>
      <c r="E12" s="558" t="s">
        <v>277</v>
      </c>
      <c r="G12" s="134" t="s">
        <v>278</v>
      </c>
      <c r="H12" s="134" t="s">
        <v>279</v>
      </c>
      <c r="I12" s="134" t="s">
        <v>280</v>
      </c>
    </row>
    <row r="13" spans="1:9" ht="60" x14ac:dyDescent="0.25">
      <c r="A13" s="561" t="s">
        <v>660</v>
      </c>
      <c r="B13" s="645">
        <f>F5*0.5+F6*0.5</f>
        <v>4.4999999999999996E-5</v>
      </c>
      <c r="C13" s="661">
        <f>F7*0.5+F8*0.5</f>
        <v>5.0561797752808992E-4</v>
      </c>
      <c r="D13" s="561" t="s">
        <v>661</v>
      </c>
      <c r="E13" s="561" t="s">
        <v>662</v>
      </c>
      <c r="G13" s="642" t="s">
        <v>93</v>
      </c>
      <c r="H13" s="562">
        <f t="shared" ref="H13:I15" si="0">B13</f>
        <v>4.4999999999999996E-5</v>
      </c>
      <c r="I13" s="562">
        <f t="shared" si="0"/>
        <v>5.0561797752808992E-4</v>
      </c>
    </row>
    <row r="14" spans="1:9" ht="45" x14ac:dyDescent="0.25">
      <c r="A14" s="561" t="s">
        <v>663</v>
      </c>
      <c r="B14" s="576">
        <v>0.7</v>
      </c>
      <c r="C14" s="577"/>
      <c r="D14" s="561" t="s">
        <v>664</v>
      </c>
      <c r="E14" s="561" t="s">
        <v>901</v>
      </c>
      <c r="G14" s="642" t="s">
        <v>546</v>
      </c>
      <c r="H14" s="575">
        <f t="shared" si="0"/>
        <v>0.7</v>
      </c>
      <c r="I14" s="575">
        <f>B14</f>
        <v>0.7</v>
      </c>
    </row>
    <row r="15" spans="1:9" ht="45" x14ac:dyDescent="0.25">
      <c r="A15" s="643" t="s">
        <v>665</v>
      </c>
      <c r="B15" s="576">
        <v>0.3</v>
      </c>
      <c r="C15" s="577"/>
      <c r="D15" s="561" t="s">
        <v>666</v>
      </c>
      <c r="E15" s="561" t="s">
        <v>901</v>
      </c>
      <c r="G15" s="642" t="s">
        <v>667</v>
      </c>
      <c r="H15" s="575">
        <f t="shared" si="0"/>
        <v>0.3</v>
      </c>
      <c r="I15" s="575">
        <f>B15</f>
        <v>0.3</v>
      </c>
    </row>
    <row r="18" spans="1:2" x14ac:dyDescent="0.25">
      <c r="A18" s="547" t="s">
        <v>668</v>
      </c>
      <c r="B18" s="662"/>
    </row>
    <row r="19" spans="1:2" x14ac:dyDescent="0.25">
      <c r="A19" s="548" t="s">
        <v>290</v>
      </c>
      <c r="B19" s="548" t="s">
        <v>292</v>
      </c>
    </row>
    <row r="20" spans="1:2" ht="60" x14ac:dyDescent="0.25">
      <c r="A20" s="575">
        <v>1</v>
      </c>
      <c r="B20" s="575" t="s">
        <v>669</v>
      </c>
    </row>
  </sheetData>
  <sheetProtection algorithmName="SHA-512" hashValue="XTJxcGhfZH0XofIeJ1LBsDC3jLtk3zxWhbbn2ldE5igslEVyBWqRgGXti0y2ZSYYIM9VT+52QP+yNfVb0o4X+Q==" saltValue="mmZgN6Nnj07huFqaNtTgow==" spinCount="100000" sheet="1" objects="1" scenarios="1"/>
  <mergeCells count="6">
    <mergeCell ref="B15:C15"/>
    <mergeCell ref="A3:E3"/>
    <mergeCell ref="F3:G3"/>
    <mergeCell ref="G11:I11"/>
    <mergeCell ref="A11:E11"/>
    <mergeCell ref="B14:C14"/>
  </mergeCells>
  <pageMargins left="0.7" right="0.7" top="0.75" bottom="0.75" header="0.3" footer="0.3"/>
  <pageSetup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1DE540-1DE3-4ADC-9A03-7900B047D238}">
  <sheetPr codeName="Sheet16"/>
  <dimension ref="A1:DU28"/>
  <sheetViews>
    <sheetView zoomScale="90" zoomScaleNormal="90" workbookViewId="0">
      <pane ySplit="4" topLeftCell="A18" activePane="bottomLeft" state="frozen"/>
      <selection activeCell="B4" sqref="B4"/>
      <selection pane="bottomLeft" activeCell="B1" sqref="B1"/>
    </sheetView>
  </sheetViews>
  <sheetFormatPr defaultRowHeight="15" x14ac:dyDescent="0.25"/>
  <cols>
    <col min="1" max="1" width="11.140625" style="125" customWidth="1"/>
    <col min="2" max="2" width="20.42578125" style="125" bestFit="1" customWidth="1"/>
    <col min="3" max="3" width="40.42578125" style="125" customWidth="1"/>
    <col min="4" max="4" width="31.42578125" style="487" customWidth="1"/>
    <col min="5" max="5" width="28.85546875" style="487" customWidth="1"/>
    <col min="6" max="6" width="38.28515625" style="487" customWidth="1"/>
    <col min="7" max="7" width="13.28515625" style="487" customWidth="1"/>
    <col min="8" max="13" width="30.7109375" style="487" customWidth="1"/>
    <col min="14" max="24" width="9.140625" style="125" customWidth="1"/>
    <col min="25" max="25" width="28.5703125" style="125" bestFit="1" customWidth="1"/>
    <col min="26" max="33" width="9.140625" style="125" customWidth="1"/>
    <col min="34" max="34" width="10.5703125" style="125" customWidth="1"/>
    <col min="35" max="35" width="10.42578125" style="125" customWidth="1"/>
    <col min="36" max="38" width="9.140625" style="125" customWidth="1"/>
    <col min="39" max="39" width="11.5703125" style="125" customWidth="1"/>
    <col min="40" max="40" width="10.85546875" style="125" customWidth="1"/>
    <col min="41" max="41" width="10" style="125" customWidth="1"/>
    <col min="42" max="42" width="9.140625" style="125" customWidth="1"/>
    <col min="43" max="43" width="11" style="125" customWidth="1"/>
    <col min="44" max="44" width="12.5703125" style="125" customWidth="1"/>
    <col min="45" max="46" width="9.140625" style="125" customWidth="1"/>
    <col min="47" max="48" width="9.140625" style="125"/>
    <col min="49" max="49" width="15.5703125" style="125" bestFit="1" customWidth="1"/>
    <col min="50" max="50" width="14.28515625" style="125" bestFit="1" customWidth="1"/>
    <col min="51" max="53" width="14.28515625" style="125" customWidth="1"/>
    <col min="54" max="54" width="11.5703125" style="125" bestFit="1" customWidth="1"/>
    <col min="55" max="57" width="14" style="125" customWidth="1"/>
    <col min="58" max="58" width="13.140625" style="125" customWidth="1"/>
    <col min="59" max="59" width="23.7109375" style="125" bestFit="1" customWidth="1"/>
    <col min="60" max="60" width="26.42578125" style="125" bestFit="1" customWidth="1"/>
    <col min="61" max="61" width="21.42578125" style="125" bestFit="1" customWidth="1"/>
    <col min="62" max="62" width="20" style="125" bestFit="1" customWidth="1"/>
    <col min="63" max="63" width="19.7109375" style="125" bestFit="1" customWidth="1"/>
    <col min="64" max="64" width="25.85546875" style="125" bestFit="1" customWidth="1"/>
    <col min="65" max="65" width="34.140625" style="125" bestFit="1" customWidth="1"/>
    <col min="66" max="66" width="32.7109375" style="125" bestFit="1" customWidth="1"/>
    <col min="67" max="67" width="18.85546875" style="125" bestFit="1" customWidth="1"/>
    <col min="68" max="68" width="19.42578125" style="125" customWidth="1"/>
    <col min="69" max="79" width="9.140625" style="125" customWidth="1"/>
    <col min="80" max="80" width="12.28515625" style="125" customWidth="1"/>
    <col min="81" max="83" width="9.140625" style="125" customWidth="1"/>
    <col min="84" max="84" width="8" style="125" customWidth="1"/>
    <col min="85" max="85" width="17.42578125" style="125" customWidth="1"/>
    <col min="86" max="88" width="19.5703125" style="125" customWidth="1"/>
    <col min="89" max="89" width="9.140625" style="125" customWidth="1"/>
    <col min="90" max="90" width="23.42578125" style="125" customWidth="1"/>
    <col min="91" max="100" width="9.140625" style="125" customWidth="1"/>
    <col min="101" max="101" width="17.5703125" style="125" customWidth="1"/>
    <col min="102" max="104" width="19.7109375" style="125" customWidth="1"/>
    <col min="105" max="105" width="13.28515625" style="125" customWidth="1"/>
    <col min="106" max="109" width="9.140625" style="125" customWidth="1"/>
    <col min="110" max="110" width="9.42578125" style="125" customWidth="1"/>
    <col min="111" max="111" width="27.5703125" style="125" customWidth="1"/>
    <col min="112" max="113" width="9.140625" style="125" customWidth="1"/>
    <col min="114" max="114" width="26.140625" style="125" customWidth="1"/>
    <col min="115" max="115" width="11.140625" style="125" customWidth="1"/>
    <col min="116" max="116" width="26.42578125" style="125" customWidth="1"/>
    <col min="117" max="121" width="9.140625" style="125" customWidth="1"/>
    <col min="122" max="122" width="22.140625" style="125" customWidth="1"/>
    <col min="123" max="123" width="29" style="125" customWidth="1"/>
    <col min="124" max="129" width="9.140625" style="125" customWidth="1"/>
    <col min="130" max="16384" width="9.140625" style="125"/>
  </cols>
  <sheetData>
    <row r="1" spans="1:125" x14ac:dyDescent="0.25">
      <c r="A1" s="125" t="s">
        <v>670</v>
      </c>
    </row>
    <row r="2" spans="1:125" s="487" customFormat="1" x14ac:dyDescent="0.25">
      <c r="A2" s="125"/>
      <c r="AY2" s="626" t="s">
        <v>370</v>
      </c>
      <c r="AZ2" s="626"/>
      <c r="BA2" s="626"/>
      <c r="BC2" s="626" t="s">
        <v>370</v>
      </c>
      <c r="BD2" s="626"/>
      <c r="BE2" s="626"/>
      <c r="CH2" s="626" t="s">
        <v>370</v>
      </c>
      <c r="CI2" s="626"/>
      <c r="CJ2" s="626"/>
      <c r="CX2" s="626" t="s">
        <v>370</v>
      </c>
      <c r="CY2" s="626"/>
      <c r="CZ2" s="626"/>
    </row>
    <row r="3" spans="1:125" ht="45" x14ac:dyDescent="0.25">
      <c r="A3" s="127" t="s">
        <v>371</v>
      </c>
      <c r="B3" s="127"/>
      <c r="AU3" s="627" t="s">
        <v>372</v>
      </c>
      <c r="AV3" s="627"/>
      <c r="AX3" s="125" t="s">
        <v>373</v>
      </c>
      <c r="AY3" s="487" t="s">
        <v>374</v>
      </c>
      <c r="AZ3" s="487" t="s">
        <v>376</v>
      </c>
      <c r="BA3" s="487" t="s">
        <v>671</v>
      </c>
      <c r="BB3" s="125" t="s">
        <v>373</v>
      </c>
      <c r="BC3" s="487" t="s">
        <v>374</v>
      </c>
      <c r="BD3" s="487" t="s">
        <v>376</v>
      </c>
      <c r="BE3" s="487" t="s">
        <v>671</v>
      </c>
      <c r="CG3" s="125" t="s">
        <v>379</v>
      </c>
      <c r="CH3" s="487" t="s">
        <v>374</v>
      </c>
      <c r="CI3" s="487" t="s">
        <v>376</v>
      </c>
      <c r="CJ3" s="487" t="s">
        <v>671</v>
      </c>
      <c r="CW3" s="125" t="s">
        <v>381</v>
      </c>
      <c r="CX3" s="487" t="s">
        <v>374</v>
      </c>
      <c r="CY3" s="487" t="s">
        <v>376</v>
      </c>
      <c r="CZ3" s="487" t="s">
        <v>671</v>
      </c>
    </row>
    <row r="4" spans="1:125" s="603" customFormat="1" ht="85.5" x14ac:dyDescent="0.2">
      <c r="A4" s="628" t="s">
        <v>382</v>
      </c>
      <c r="B4" s="628" t="s">
        <v>383</v>
      </c>
      <c r="C4" s="628" t="s">
        <v>384</v>
      </c>
      <c r="D4" s="629" t="s">
        <v>385</v>
      </c>
      <c r="E4" s="629" t="s">
        <v>386</v>
      </c>
      <c r="F4" s="629" t="s">
        <v>387</v>
      </c>
      <c r="G4" s="629" t="s">
        <v>388</v>
      </c>
      <c r="H4" s="629" t="s">
        <v>389</v>
      </c>
      <c r="I4" s="629" t="s">
        <v>390</v>
      </c>
      <c r="J4" s="629" t="s">
        <v>391</v>
      </c>
      <c r="K4" s="629" t="s">
        <v>392</v>
      </c>
      <c r="L4" s="629" t="s">
        <v>393</v>
      </c>
      <c r="M4" s="629" t="s">
        <v>394</v>
      </c>
      <c r="N4" s="628" t="s">
        <v>395</v>
      </c>
      <c r="O4" s="628" t="s">
        <v>396</v>
      </c>
      <c r="P4" s="628" t="s">
        <v>397</v>
      </c>
      <c r="Q4" s="628" t="s">
        <v>398</v>
      </c>
      <c r="R4" s="628" t="s">
        <v>399</v>
      </c>
      <c r="S4" s="628" t="s">
        <v>400</v>
      </c>
      <c r="T4" s="628" t="s">
        <v>401</v>
      </c>
      <c r="U4" s="628" t="s">
        <v>402</v>
      </c>
      <c r="V4" s="628" t="s">
        <v>403</v>
      </c>
      <c r="W4" s="628" t="s">
        <v>404</v>
      </c>
      <c r="X4" s="628" t="s">
        <v>405</v>
      </c>
      <c r="Y4" s="628" t="s">
        <v>406</v>
      </c>
      <c r="Z4" s="628" t="s">
        <v>407</v>
      </c>
      <c r="AA4" s="628" t="s">
        <v>408</v>
      </c>
      <c r="AB4" s="628" t="s">
        <v>409</v>
      </c>
      <c r="AC4" s="628" t="s">
        <v>410</v>
      </c>
      <c r="AD4" s="628" t="s">
        <v>411</v>
      </c>
      <c r="AE4" s="628" t="s">
        <v>412</v>
      </c>
      <c r="AF4" s="630" t="s">
        <v>413</v>
      </c>
      <c r="AG4" s="630" t="s">
        <v>414</v>
      </c>
      <c r="AH4" s="630" t="s">
        <v>415</v>
      </c>
      <c r="AI4" s="630" t="s">
        <v>416</v>
      </c>
      <c r="AJ4" s="630" t="s">
        <v>417</v>
      </c>
      <c r="AK4" s="630" t="s">
        <v>418</v>
      </c>
      <c r="AL4" s="630" t="s">
        <v>419</v>
      </c>
      <c r="AM4" s="630" t="s">
        <v>420</v>
      </c>
      <c r="AN4" s="630" t="s">
        <v>421</v>
      </c>
      <c r="AO4" s="630" t="s">
        <v>422</v>
      </c>
      <c r="AP4" s="630" t="s">
        <v>423</v>
      </c>
      <c r="AQ4" s="630" t="s">
        <v>424</v>
      </c>
      <c r="AR4" s="630" t="s">
        <v>425</v>
      </c>
      <c r="AS4" s="630" t="s">
        <v>426</v>
      </c>
      <c r="AT4" s="631" t="s">
        <v>427</v>
      </c>
      <c r="AU4" s="630" t="s">
        <v>428</v>
      </c>
      <c r="AV4" s="630" t="s">
        <v>429</v>
      </c>
      <c r="AW4" s="628" t="s">
        <v>430</v>
      </c>
      <c r="AX4" s="548" t="s">
        <v>431</v>
      </c>
      <c r="AY4" s="632" t="s">
        <v>432</v>
      </c>
      <c r="AZ4" s="632" t="s">
        <v>433</v>
      </c>
      <c r="BA4" s="632" t="s">
        <v>433</v>
      </c>
      <c r="BB4" s="548" t="s">
        <v>434</v>
      </c>
      <c r="BC4" s="632" t="s">
        <v>435</v>
      </c>
      <c r="BD4" s="632" t="s">
        <v>436</v>
      </c>
      <c r="BE4" s="632" t="s">
        <v>436</v>
      </c>
      <c r="BF4" s="603" t="s">
        <v>437</v>
      </c>
      <c r="BG4" s="603" t="s">
        <v>438</v>
      </c>
      <c r="BH4" s="603" t="s">
        <v>439</v>
      </c>
      <c r="BI4" s="603" t="s">
        <v>440</v>
      </c>
      <c r="BJ4" s="603" t="s">
        <v>441</v>
      </c>
      <c r="BK4" s="603" t="s">
        <v>442</v>
      </c>
      <c r="BL4" s="603" t="s">
        <v>443</v>
      </c>
      <c r="BM4" s="603" t="s">
        <v>444</v>
      </c>
      <c r="BN4" s="603" t="s">
        <v>445</v>
      </c>
      <c r="BO4" s="603" t="s">
        <v>446</v>
      </c>
      <c r="BP4" s="603" t="s">
        <v>447</v>
      </c>
      <c r="BQ4" s="603" t="s">
        <v>448</v>
      </c>
      <c r="BR4" s="603" t="s">
        <v>449</v>
      </c>
      <c r="BS4" s="603" t="s">
        <v>450</v>
      </c>
      <c r="BT4" s="603" t="s">
        <v>451</v>
      </c>
      <c r="BU4" s="603" t="s">
        <v>452</v>
      </c>
      <c r="BV4" s="603" t="s">
        <v>453</v>
      </c>
      <c r="BW4" s="603" t="s">
        <v>454</v>
      </c>
      <c r="BX4" s="603" t="s">
        <v>455</v>
      </c>
      <c r="BY4" s="603" t="s">
        <v>456</v>
      </c>
      <c r="BZ4" s="603" t="s">
        <v>457</v>
      </c>
      <c r="CA4" s="603" t="s">
        <v>458</v>
      </c>
      <c r="CB4" s="603" t="s">
        <v>459</v>
      </c>
      <c r="CC4" s="603" t="s">
        <v>462</v>
      </c>
      <c r="CD4" s="603" t="s">
        <v>463</v>
      </c>
      <c r="CE4" s="603" t="s">
        <v>464</v>
      </c>
      <c r="CF4" s="603" t="s">
        <v>465</v>
      </c>
      <c r="CG4" s="548" t="s">
        <v>466</v>
      </c>
      <c r="CH4" s="632" t="s">
        <v>467</v>
      </c>
      <c r="CI4" s="632" t="s">
        <v>468</v>
      </c>
      <c r="CJ4" s="632" t="s">
        <v>468</v>
      </c>
      <c r="CK4" s="603" t="s">
        <v>469</v>
      </c>
      <c r="CL4" s="603" t="s">
        <v>470</v>
      </c>
      <c r="CM4" s="603" t="s">
        <v>471</v>
      </c>
      <c r="CN4" s="603" t="s">
        <v>472</v>
      </c>
      <c r="CO4" s="603" t="s">
        <v>473</v>
      </c>
      <c r="CP4" s="603" t="s">
        <v>474</v>
      </c>
      <c r="CQ4" s="603" t="s">
        <v>475</v>
      </c>
      <c r="CR4" s="603" t="s">
        <v>476</v>
      </c>
      <c r="CS4" s="603" t="s">
        <v>477</v>
      </c>
      <c r="CT4" s="603" t="s">
        <v>480</v>
      </c>
      <c r="CU4" s="603" t="s">
        <v>481</v>
      </c>
      <c r="CV4" s="603" t="s">
        <v>482</v>
      </c>
      <c r="CW4" s="548" t="s">
        <v>483</v>
      </c>
      <c r="CX4" s="632" t="s">
        <v>484</v>
      </c>
      <c r="CY4" s="632" t="s">
        <v>485</v>
      </c>
      <c r="CZ4" s="632" t="s">
        <v>485</v>
      </c>
      <c r="DA4" s="548" t="s">
        <v>486</v>
      </c>
      <c r="DB4" s="603" t="s">
        <v>489</v>
      </c>
      <c r="DC4" s="603" t="s">
        <v>490</v>
      </c>
      <c r="DD4" s="603" t="s">
        <v>491</v>
      </c>
      <c r="DE4" s="603" t="s">
        <v>492</v>
      </c>
      <c r="DF4" s="603" t="s">
        <v>493</v>
      </c>
      <c r="DG4" s="603" t="s">
        <v>494</v>
      </c>
      <c r="DH4" s="603" t="s">
        <v>495</v>
      </c>
      <c r="DI4" s="603" t="s">
        <v>496</v>
      </c>
      <c r="DJ4" s="603" t="s">
        <v>497</v>
      </c>
      <c r="DK4" s="603" t="s">
        <v>498</v>
      </c>
      <c r="DL4" s="603" t="s">
        <v>499</v>
      </c>
      <c r="DM4" s="603" t="s">
        <v>500</v>
      </c>
      <c r="DN4" s="603" t="s">
        <v>501</v>
      </c>
      <c r="DO4" s="603" t="s">
        <v>502</v>
      </c>
      <c r="DP4" s="603" t="s">
        <v>503</v>
      </c>
      <c r="DQ4" s="603" t="s">
        <v>504</v>
      </c>
      <c r="DR4" s="603" t="s">
        <v>505</v>
      </c>
      <c r="DS4" s="603" t="s">
        <v>506</v>
      </c>
      <c r="DT4" s="603" t="s">
        <v>507</v>
      </c>
      <c r="DU4" s="603" t="s">
        <v>508</v>
      </c>
    </row>
    <row r="5" spans="1:125" x14ac:dyDescent="0.25">
      <c r="A5" s="633" t="s">
        <v>509</v>
      </c>
      <c r="B5" s="633" t="s">
        <v>672</v>
      </c>
      <c r="C5" s="633" t="s">
        <v>673</v>
      </c>
      <c r="D5" s="634" t="s">
        <v>674</v>
      </c>
      <c r="E5" s="634" t="s">
        <v>675</v>
      </c>
      <c r="F5" s="634" t="s">
        <v>676</v>
      </c>
      <c r="G5" s="634" t="s">
        <v>677</v>
      </c>
      <c r="H5" s="634" t="s">
        <v>678</v>
      </c>
      <c r="P5" s="633" t="s">
        <v>679</v>
      </c>
      <c r="V5" s="633" t="s">
        <v>680</v>
      </c>
      <c r="W5" s="633" t="s">
        <v>681</v>
      </c>
      <c r="X5" s="633" t="s">
        <v>682</v>
      </c>
      <c r="Y5" s="633" t="s">
        <v>521</v>
      </c>
      <c r="Z5" s="633" t="s">
        <v>522</v>
      </c>
      <c r="AA5" s="633" t="s">
        <v>523</v>
      </c>
      <c r="AB5" s="633" t="s">
        <v>524</v>
      </c>
      <c r="AC5" s="633" t="s">
        <v>523</v>
      </c>
      <c r="AD5" s="633" t="s">
        <v>523</v>
      </c>
      <c r="AE5" s="633" t="s">
        <v>525</v>
      </c>
      <c r="AF5" s="125">
        <v>0</v>
      </c>
      <c r="AG5" s="125">
        <v>0</v>
      </c>
      <c r="AH5" s="125">
        <v>0</v>
      </c>
      <c r="AI5" s="125">
        <v>0</v>
      </c>
      <c r="AJ5" s="125">
        <v>0</v>
      </c>
      <c r="AK5" s="125">
        <v>0</v>
      </c>
      <c r="AL5" s="125">
        <v>0</v>
      </c>
      <c r="AM5" s="125">
        <v>1</v>
      </c>
      <c r="AN5" s="125">
        <v>0</v>
      </c>
      <c r="AO5" s="125">
        <v>0</v>
      </c>
      <c r="AP5" s="125">
        <v>0</v>
      </c>
      <c r="AQ5" s="125">
        <v>0</v>
      </c>
      <c r="AR5" s="125">
        <v>0</v>
      </c>
      <c r="AS5" s="125">
        <v>0</v>
      </c>
      <c r="AT5" s="633" t="s">
        <v>683</v>
      </c>
      <c r="AU5" s="125">
        <v>100</v>
      </c>
      <c r="AV5" s="125">
        <v>999</v>
      </c>
      <c r="AW5" s="633" t="s">
        <v>527</v>
      </c>
      <c r="AX5" s="125">
        <v>1.3485</v>
      </c>
      <c r="AY5" s="488">
        <f>CONVERT(AX5,"lbm","g")/1000</f>
        <v>0.61166931094499999</v>
      </c>
      <c r="AZ5" s="488">
        <f>AY5/300</f>
        <v>2.03889770315E-3</v>
      </c>
      <c r="BA5" s="488">
        <f>AY5/5</f>
        <v>0.122333862189</v>
      </c>
      <c r="BB5" s="488">
        <v>12.1365</v>
      </c>
      <c r="BC5" s="488">
        <f>CONVERT(BB5,"lbm","g")/1000</f>
        <v>5.5050237985049995</v>
      </c>
      <c r="BD5" s="488">
        <f>BC5/300</f>
        <v>1.8350079328349998E-2</v>
      </c>
      <c r="BE5" s="488">
        <f>BC5/5</f>
        <v>1.101004759701</v>
      </c>
      <c r="BF5" s="125">
        <v>0</v>
      </c>
      <c r="BG5" s="125">
        <v>0</v>
      </c>
      <c r="BH5" s="125">
        <v>0</v>
      </c>
      <c r="BI5" s="125">
        <v>0</v>
      </c>
      <c r="BJ5" s="125">
        <v>0</v>
      </c>
      <c r="BK5" s="125">
        <v>0</v>
      </c>
      <c r="BL5" s="125">
        <v>0</v>
      </c>
      <c r="BM5" s="125">
        <v>0</v>
      </c>
      <c r="BN5" s="125">
        <v>0</v>
      </c>
      <c r="BO5" s="125">
        <v>0</v>
      </c>
      <c r="BP5" s="125">
        <v>13.484999999999999</v>
      </c>
      <c r="BQ5" s="125">
        <v>0</v>
      </c>
      <c r="BR5" s="125">
        <v>0</v>
      </c>
      <c r="BS5" s="125">
        <v>0</v>
      </c>
      <c r="BT5" s="125">
        <v>0</v>
      </c>
      <c r="BU5" s="125">
        <v>0</v>
      </c>
      <c r="BV5" s="125">
        <v>0</v>
      </c>
      <c r="BW5" s="125">
        <v>0</v>
      </c>
      <c r="BX5" s="125">
        <v>0</v>
      </c>
      <c r="BY5" s="125">
        <v>0</v>
      </c>
      <c r="BZ5" s="125">
        <v>0</v>
      </c>
      <c r="CA5" s="125">
        <v>0</v>
      </c>
      <c r="CB5" s="125">
        <v>0</v>
      </c>
      <c r="CC5" s="125">
        <v>0</v>
      </c>
      <c r="CD5" s="125">
        <v>0</v>
      </c>
      <c r="CE5" s="125">
        <v>0</v>
      </c>
      <c r="CF5" s="125">
        <v>0</v>
      </c>
      <c r="CG5" s="125">
        <v>0</v>
      </c>
      <c r="CH5" s="125">
        <f>CONVERT(CG5,"lbm","g")/1000</f>
        <v>0</v>
      </c>
      <c r="CI5" s="125">
        <f>CH5/300</f>
        <v>0</v>
      </c>
      <c r="CJ5" s="125">
        <f>CH5/5</f>
        <v>0</v>
      </c>
      <c r="CK5" s="125">
        <v>0</v>
      </c>
      <c r="CL5" s="125">
        <v>0</v>
      </c>
      <c r="CM5" s="125">
        <v>0</v>
      </c>
      <c r="CN5" s="125">
        <v>0</v>
      </c>
      <c r="CO5" s="125">
        <v>0</v>
      </c>
      <c r="CP5" s="125">
        <v>0</v>
      </c>
      <c r="CQ5" s="125">
        <v>0</v>
      </c>
      <c r="CR5" s="125">
        <v>0</v>
      </c>
      <c r="CS5" s="125">
        <v>0</v>
      </c>
      <c r="CT5" s="125">
        <v>0</v>
      </c>
      <c r="CU5" s="125">
        <v>0</v>
      </c>
      <c r="CV5" s="125">
        <v>0</v>
      </c>
      <c r="CW5" s="125">
        <v>0</v>
      </c>
      <c r="CX5" s="125">
        <f>CONVERT(CW5,"lbm","g")/1000</f>
        <v>0</v>
      </c>
      <c r="CY5" s="125">
        <f>CX5/300</f>
        <v>0</v>
      </c>
      <c r="CZ5" s="125">
        <f>CX5/5</f>
        <v>0</v>
      </c>
      <c r="DA5" s="125">
        <v>0</v>
      </c>
      <c r="DB5" s="125">
        <v>0</v>
      </c>
      <c r="DC5" s="125">
        <v>0</v>
      </c>
      <c r="DD5" s="125">
        <v>0</v>
      </c>
      <c r="DE5" s="125">
        <v>0</v>
      </c>
      <c r="DF5" s="125">
        <v>0</v>
      </c>
      <c r="DG5" s="125">
        <v>13.484999999999999</v>
      </c>
      <c r="DH5" s="125">
        <v>0</v>
      </c>
      <c r="DI5" s="125">
        <v>0</v>
      </c>
      <c r="DJ5" s="125">
        <v>13.484999999999999</v>
      </c>
      <c r="DK5" s="125">
        <v>0</v>
      </c>
      <c r="DL5" s="125">
        <v>0</v>
      </c>
      <c r="DM5" s="125">
        <v>0</v>
      </c>
      <c r="DN5" s="125">
        <v>0</v>
      </c>
      <c r="DO5" s="125">
        <v>0</v>
      </c>
      <c r="DP5" s="125">
        <v>0</v>
      </c>
      <c r="DQ5" s="125">
        <v>0</v>
      </c>
      <c r="DR5" s="125">
        <v>0</v>
      </c>
      <c r="DS5" s="125">
        <v>13.484999999999999</v>
      </c>
      <c r="DT5" s="125">
        <v>0</v>
      </c>
      <c r="DU5" s="125">
        <v>0</v>
      </c>
    </row>
    <row r="6" spans="1:125" x14ac:dyDescent="0.25">
      <c r="A6" s="633" t="s">
        <v>509</v>
      </c>
      <c r="B6" s="633" t="s">
        <v>684</v>
      </c>
      <c r="C6" s="633" t="s">
        <v>685</v>
      </c>
      <c r="D6" s="634" t="s">
        <v>686</v>
      </c>
      <c r="E6" s="634" t="s">
        <v>687</v>
      </c>
      <c r="F6" s="634" t="s">
        <v>688</v>
      </c>
      <c r="G6" s="634" t="s">
        <v>677</v>
      </c>
      <c r="H6" s="634" t="s">
        <v>689</v>
      </c>
      <c r="P6" s="633" t="s">
        <v>690</v>
      </c>
      <c r="V6" s="633" t="s">
        <v>680</v>
      </c>
      <c r="W6" s="633" t="s">
        <v>681</v>
      </c>
      <c r="X6" s="633" t="s">
        <v>691</v>
      </c>
      <c r="Y6" s="633" t="s">
        <v>521</v>
      </c>
      <c r="Z6" s="633" t="s">
        <v>522</v>
      </c>
      <c r="AA6" s="633" t="s">
        <v>523</v>
      </c>
      <c r="AB6" s="633" t="s">
        <v>524</v>
      </c>
      <c r="AC6" s="633" t="s">
        <v>523</v>
      </c>
      <c r="AD6" s="633" t="s">
        <v>523</v>
      </c>
      <c r="AE6" s="633" t="s">
        <v>525</v>
      </c>
      <c r="AF6" s="125">
        <v>0</v>
      </c>
      <c r="AG6" s="125">
        <v>0</v>
      </c>
      <c r="AH6" s="125">
        <v>0</v>
      </c>
      <c r="AI6" s="125">
        <v>0</v>
      </c>
      <c r="AJ6" s="125">
        <v>0</v>
      </c>
      <c r="AK6" s="125">
        <v>0</v>
      </c>
      <c r="AL6" s="125">
        <v>0</v>
      </c>
      <c r="AM6" s="125">
        <v>1</v>
      </c>
      <c r="AN6" s="125">
        <v>0</v>
      </c>
      <c r="AO6" s="125">
        <v>0</v>
      </c>
      <c r="AP6" s="125">
        <v>0</v>
      </c>
      <c r="AQ6" s="125">
        <v>0</v>
      </c>
      <c r="AR6" s="125">
        <v>0</v>
      </c>
      <c r="AS6" s="125">
        <v>0</v>
      </c>
      <c r="AT6" s="633" t="s">
        <v>692</v>
      </c>
      <c r="AU6" s="125">
        <v>1000</v>
      </c>
      <c r="AV6" s="125">
        <v>9999</v>
      </c>
      <c r="AW6" s="633" t="s">
        <v>527</v>
      </c>
      <c r="AX6" s="125">
        <v>1</v>
      </c>
      <c r="AY6" s="488">
        <f>CONVERT(AX6,"lbm","g")/1000</f>
        <v>0.45359237000000002</v>
      </c>
      <c r="AZ6" s="663">
        <f>AY6/300</f>
        <v>1.5119745666666668E-3</v>
      </c>
      <c r="BA6" s="488">
        <f>AY6/5</f>
        <v>9.0718474000000007E-2</v>
      </c>
      <c r="BB6" s="125">
        <v>14</v>
      </c>
      <c r="BC6" s="488">
        <f>CONVERT(BB6,"lbm","g")/1000</f>
        <v>6.3502931800000004</v>
      </c>
      <c r="BD6" s="488">
        <f>BC6/300</f>
        <v>2.1167643933333334E-2</v>
      </c>
      <c r="BE6" s="488">
        <f>BC6/5</f>
        <v>1.2700586360000001</v>
      </c>
      <c r="BF6" s="125">
        <v>0</v>
      </c>
      <c r="BG6" s="125">
        <v>0</v>
      </c>
      <c r="BH6" s="125">
        <v>0</v>
      </c>
      <c r="BI6" s="125">
        <v>0</v>
      </c>
      <c r="BJ6" s="125">
        <v>0</v>
      </c>
      <c r="BK6" s="125">
        <v>0</v>
      </c>
      <c r="BL6" s="125">
        <v>0</v>
      </c>
      <c r="BM6" s="125">
        <v>0</v>
      </c>
      <c r="BN6" s="125">
        <v>0</v>
      </c>
      <c r="BO6" s="125">
        <v>0</v>
      </c>
      <c r="BP6" s="125">
        <v>15</v>
      </c>
      <c r="BQ6" s="125">
        <v>0</v>
      </c>
      <c r="BR6" s="125">
        <v>0</v>
      </c>
      <c r="BS6" s="125">
        <v>0</v>
      </c>
      <c r="BT6" s="125">
        <v>0</v>
      </c>
      <c r="BU6" s="125">
        <v>0</v>
      </c>
      <c r="BV6" s="125">
        <v>0</v>
      </c>
      <c r="BW6" s="125">
        <v>0</v>
      </c>
      <c r="BX6" s="125">
        <v>0</v>
      </c>
      <c r="BY6" s="125">
        <v>0</v>
      </c>
      <c r="BZ6" s="125">
        <v>0</v>
      </c>
      <c r="CA6" s="125">
        <v>0</v>
      </c>
      <c r="CB6" s="125">
        <v>0</v>
      </c>
      <c r="CC6" s="125">
        <v>0</v>
      </c>
      <c r="CD6" s="125">
        <v>0</v>
      </c>
      <c r="CE6" s="125">
        <v>0</v>
      </c>
      <c r="CF6" s="125">
        <v>0</v>
      </c>
      <c r="CG6" s="125">
        <v>1</v>
      </c>
      <c r="CH6" s="125">
        <f>CONVERT(CG6,"lbm","g")/1000</f>
        <v>0.45359237000000002</v>
      </c>
      <c r="CI6" s="125">
        <f>CH6/300</f>
        <v>1.5119745666666668E-3</v>
      </c>
      <c r="CJ6" s="125">
        <f>CH6/5</f>
        <v>9.0718474000000007E-2</v>
      </c>
      <c r="CK6" s="125">
        <v>0</v>
      </c>
      <c r="CL6" s="125">
        <v>1</v>
      </c>
      <c r="CM6" s="125">
        <v>0</v>
      </c>
      <c r="CN6" s="125">
        <v>0</v>
      </c>
      <c r="CO6" s="125">
        <v>0</v>
      </c>
      <c r="CP6" s="125">
        <v>0</v>
      </c>
      <c r="CQ6" s="125">
        <v>0</v>
      </c>
      <c r="CR6" s="125">
        <v>0</v>
      </c>
      <c r="CS6" s="125">
        <v>0</v>
      </c>
      <c r="CT6" s="125">
        <v>0</v>
      </c>
      <c r="CU6" s="125">
        <v>0</v>
      </c>
      <c r="CV6" s="125">
        <v>0</v>
      </c>
      <c r="CW6" s="125">
        <v>14</v>
      </c>
      <c r="CX6" s="125">
        <f>CONVERT(CW6,"lbm","g")/1000</f>
        <v>6.3502931800000004</v>
      </c>
      <c r="CY6" s="125">
        <f>CX6/300</f>
        <v>2.1167643933333334E-2</v>
      </c>
      <c r="CZ6" s="125">
        <f>CX6/5</f>
        <v>1.2700586360000001</v>
      </c>
      <c r="DA6" s="125">
        <v>0</v>
      </c>
      <c r="DB6" s="125">
        <v>0</v>
      </c>
      <c r="DC6" s="125">
        <v>0</v>
      </c>
      <c r="DD6" s="125">
        <v>0</v>
      </c>
      <c r="DE6" s="125">
        <v>0</v>
      </c>
      <c r="DF6" s="125">
        <v>14</v>
      </c>
      <c r="DG6" s="125">
        <v>16</v>
      </c>
      <c r="DH6" s="125">
        <v>0</v>
      </c>
      <c r="DI6" s="125">
        <v>0</v>
      </c>
      <c r="DJ6" s="125">
        <v>15</v>
      </c>
      <c r="DK6" s="125">
        <v>0</v>
      </c>
      <c r="DL6" s="125">
        <v>1</v>
      </c>
      <c r="DM6" s="125">
        <v>0</v>
      </c>
      <c r="DN6" s="125">
        <v>0</v>
      </c>
      <c r="DO6" s="125">
        <v>0</v>
      </c>
      <c r="DP6" s="125">
        <v>0</v>
      </c>
      <c r="DQ6" s="125">
        <v>0</v>
      </c>
      <c r="DR6" s="125">
        <v>14</v>
      </c>
      <c r="DS6" s="125">
        <v>30</v>
      </c>
      <c r="DT6" s="125">
        <v>0</v>
      </c>
      <c r="DU6" s="125">
        <v>0</v>
      </c>
    </row>
    <row r="7" spans="1:125" x14ac:dyDescent="0.25">
      <c r="C7" s="487"/>
      <c r="K7" s="664"/>
      <c r="L7" s="664"/>
    </row>
    <row r="8" spans="1:125" x14ac:dyDescent="0.25">
      <c r="K8" s="664"/>
      <c r="L8" s="665"/>
    </row>
    <row r="10" spans="1:125" x14ac:dyDescent="0.25">
      <c r="A10" s="555" t="s">
        <v>286</v>
      </c>
      <c r="B10" s="555"/>
      <c r="C10" s="555"/>
      <c r="D10" s="555"/>
      <c r="E10" s="555"/>
      <c r="F10" s="555" t="s">
        <v>287</v>
      </c>
    </row>
    <row r="11" spans="1:125" ht="15" customHeight="1" x14ac:dyDescent="0.25">
      <c r="A11" s="555" t="s">
        <v>288</v>
      </c>
      <c r="B11" s="555"/>
      <c r="C11" s="555"/>
      <c r="D11" s="555" t="s">
        <v>289</v>
      </c>
      <c r="E11" s="555"/>
      <c r="F11" s="555"/>
    </row>
    <row r="12" spans="1:125" ht="60" customHeight="1" x14ac:dyDescent="0.25">
      <c r="A12" s="548" t="s">
        <v>290</v>
      </c>
      <c r="B12" s="548" t="s">
        <v>291</v>
      </c>
      <c r="C12" s="548" t="s">
        <v>292</v>
      </c>
      <c r="D12" s="548" t="s">
        <v>293</v>
      </c>
      <c r="E12" s="548" t="s">
        <v>294</v>
      </c>
      <c r="F12" s="555"/>
    </row>
    <row r="13" spans="1:125" ht="15" customHeight="1" x14ac:dyDescent="0.25">
      <c r="A13" s="666" t="s">
        <v>693</v>
      </c>
      <c r="B13" s="666"/>
      <c r="C13" s="666"/>
      <c r="D13" s="666"/>
      <c r="E13" s="666"/>
      <c r="F13" s="666"/>
    </row>
    <row r="14" spans="1:125" ht="40.5" customHeight="1" x14ac:dyDescent="0.25">
      <c r="A14" s="573" t="s">
        <v>296</v>
      </c>
      <c r="B14" s="573"/>
      <c r="C14" s="573" t="s">
        <v>694</v>
      </c>
      <c r="D14" s="574">
        <f>0.05*100000</f>
        <v>5000</v>
      </c>
      <c r="E14" s="575">
        <f>ROUND(2*CONVERT(D14,"lbm","g")/1000/1000,0)</f>
        <v>5</v>
      </c>
      <c r="F14" s="575" t="s">
        <v>300</v>
      </c>
    </row>
    <row r="15" spans="1:125" ht="40.5" customHeight="1" x14ac:dyDescent="0.25">
      <c r="A15" s="573"/>
      <c r="B15" s="573"/>
      <c r="C15" s="573"/>
      <c r="D15" s="574">
        <f>0.05*100000</f>
        <v>5000</v>
      </c>
      <c r="E15" s="575">
        <v>300</v>
      </c>
      <c r="F15" s="575" t="s">
        <v>298</v>
      </c>
    </row>
    <row r="16" spans="1:125" x14ac:dyDescent="0.25">
      <c r="A16" s="487"/>
      <c r="B16" s="487"/>
    </row>
    <row r="18" spans="1:7" x14ac:dyDescent="0.25">
      <c r="A18" s="168" t="s">
        <v>695</v>
      </c>
      <c r="B18" s="168"/>
      <c r="C18" s="168"/>
      <c r="D18" s="168"/>
      <c r="E18" s="168"/>
      <c r="F18" s="168"/>
    </row>
    <row r="19" spans="1:7" x14ac:dyDescent="0.25">
      <c r="A19" s="570" t="s">
        <v>537</v>
      </c>
      <c r="B19" s="570" t="s">
        <v>27</v>
      </c>
      <c r="C19" s="570" t="s">
        <v>696</v>
      </c>
      <c r="D19" s="570" t="s">
        <v>153</v>
      </c>
      <c r="E19" s="548" t="s">
        <v>538</v>
      </c>
      <c r="F19" s="548" t="s">
        <v>538</v>
      </c>
      <c r="G19" s="125"/>
    </row>
    <row r="20" spans="1:7" ht="29.25" x14ac:dyDescent="0.25">
      <c r="A20" s="572"/>
      <c r="B20" s="572"/>
      <c r="C20" s="572"/>
      <c r="D20" s="572"/>
      <c r="E20" s="548" t="s">
        <v>697</v>
      </c>
      <c r="F20" s="548" t="s">
        <v>698</v>
      </c>
      <c r="G20" s="125"/>
    </row>
    <row r="21" spans="1:7" x14ac:dyDescent="0.25">
      <c r="A21" s="667" t="s">
        <v>685</v>
      </c>
      <c r="B21" s="573" t="s">
        <v>699</v>
      </c>
      <c r="C21" s="561" t="s">
        <v>200</v>
      </c>
      <c r="D21" s="668">
        <f>AY6</f>
        <v>0.45359237000000002</v>
      </c>
      <c r="E21" s="668">
        <f>BA6</f>
        <v>9.0718474000000007E-2</v>
      </c>
      <c r="F21" s="652">
        <f>AZ6</f>
        <v>1.5119745666666668E-3</v>
      </c>
      <c r="G21" s="125"/>
    </row>
    <row r="22" spans="1:7" x14ac:dyDescent="0.25">
      <c r="A22" s="667"/>
      <c r="B22" s="573"/>
      <c r="C22" s="561" t="s">
        <v>201</v>
      </c>
      <c r="D22" s="668">
        <f>BC6</f>
        <v>6.3502931800000004</v>
      </c>
      <c r="E22" s="668">
        <f>BE6</f>
        <v>1.2700586360000001</v>
      </c>
      <c r="F22" s="668">
        <f>BD6</f>
        <v>2.1167643933333334E-2</v>
      </c>
      <c r="G22" s="125"/>
    </row>
    <row r="23" spans="1:7" x14ac:dyDescent="0.25">
      <c r="A23" s="667"/>
      <c r="B23" s="573"/>
      <c r="C23" s="561" t="s">
        <v>202</v>
      </c>
      <c r="D23" s="668">
        <f>CH6</f>
        <v>0.45359237000000002</v>
      </c>
      <c r="E23" s="668">
        <f>CJ6</f>
        <v>9.0718474000000007E-2</v>
      </c>
      <c r="F23" s="652">
        <f>CI6</f>
        <v>1.5119745666666668E-3</v>
      </c>
      <c r="G23" s="125"/>
    </row>
    <row r="24" spans="1:7" x14ac:dyDescent="0.25">
      <c r="A24" s="667"/>
      <c r="B24" s="573"/>
      <c r="C24" s="561" t="s">
        <v>203</v>
      </c>
      <c r="D24" s="668">
        <f>CX6</f>
        <v>6.3502931800000004</v>
      </c>
      <c r="E24" s="668">
        <f>CZ6</f>
        <v>1.2700586360000001</v>
      </c>
      <c r="F24" s="668">
        <f>CY6</f>
        <v>2.1167643933333334E-2</v>
      </c>
      <c r="G24" s="125"/>
    </row>
    <row r="25" spans="1:7" ht="15.75" x14ac:dyDescent="0.25">
      <c r="A25" s="486" t="s">
        <v>910</v>
      </c>
      <c r="B25" s="487"/>
      <c r="C25" s="487"/>
      <c r="G25" s="125"/>
    </row>
    <row r="26" spans="1:7" ht="15.75" x14ac:dyDescent="0.25">
      <c r="A26" s="486" t="s">
        <v>911</v>
      </c>
      <c r="B26" s="487"/>
      <c r="C26" s="487"/>
      <c r="G26" s="125"/>
    </row>
    <row r="27" spans="1:7" ht="15.75" x14ac:dyDescent="0.25">
      <c r="A27" s="486" t="s">
        <v>912</v>
      </c>
      <c r="B27" s="487"/>
      <c r="C27" s="487"/>
      <c r="G27" s="125"/>
    </row>
    <row r="28" spans="1:7" ht="16.5" x14ac:dyDescent="0.25">
      <c r="A28" s="490" t="s">
        <v>913</v>
      </c>
      <c r="B28" s="487"/>
      <c r="C28" s="487"/>
      <c r="G28" s="125"/>
    </row>
  </sheetData>
  <sheetProtection algorithmName="SHA-512" hashValue="7ubGkbwO3GlmUV28IvworSljgJRAvu2cfEoVn6dV9g9yydoyTk3AT/nDsxqyVplxNMBiU9zTre3GpjWyu39AvQ==" saltValue="AdepZsDTbxLGBzd7Faw0PA==" spinCount="100000" sheet="1" objects="1" scenarios="1"/>
  <mergeCells count="19">
    <mergeCell ref="B21:B24"/>
    <mergeCell ref="A21:A24"/>
    <mergeCell ref="A18:F18"/>
    <mergeCell ref="D19:D20"/>
    <mergeCell ref="CH2:CJ2"/>
    <mergeCell ref="A19:A20"/>
    <mergeCell ref="B19:B20"/>
    <mergeCell ref="C19:C20"/>
    <mergeCell ref="A13:F13"/>
    <mergeCell ref="A14:B15"/>
    <mergeCell ref="C14:C15"/>
    <mergeCell ref="CX2:CZ2"/>
    <mergeCell ref="A10:E10"/>
    <mergeCell ref="F10:F12"/>
    <mergeCell ref="D11:E11"/>
    <mergeCell ref="AU3:AV3"/>
    <mergeCell ref="A11:C11"/>
    <mergeCell ref="AY2:BA2"/>
    <mergeCell ref="BC2:BE2"/>
  </mergeCells>
  <pageMargins left="0.7" right="0.7" top="0.75" bottom="0.75" header="0.3" footer="0.3"/>
  <pageSetup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159F0-434B-4B4F-AE7E-9D5D7B7CA6F5}">
  <sheetPr codeName="Sheet17">
    <tabColor rgb="FFFF0000"/>
  </sheetPr>
  <dimension ref="A1:I23"/>
  <sheetViews>
    <sheetView topLeftCell="A15" zoomScale="90" zoomScaleNormal="90" workbookViewId="0">
      <selection activeCell="D25" sqref="D25"/>
    </sheetView>
  </sheetViews>
  <sheetFormatPr defaultRowHeight="15" x14ac:dyDescent="0.25"/>
  <cols>
    <col min="1" max="1" width="26.7109375" customWidth="1"/>
    <col min="2" max="2" width="13.28515625" bestFit="1" customWidth="1"/>
    <col min="3" max="3" width="30.7109375" customWidth="1"/>
    <col min="4" max="4" width="61.85546875" bestFit="1" customWidth="1"/>
    <col min="5" max="5" width="21.7109375" customWidth="1"/>
    <col min="6" max="6" width="25.7109375" bestFit="1" customWidth="1"/>
    <col min="7" max="7" width="16" bestFit="1" customWidth="1"/>
    <col min="8" max="8" width="49.140625" customWidth="1"/>
    <col min="9" max="9" width="46.7109375" bestFit="1" customWidth="1"/>
  </cols>
  <sheetData>
    <row r="1" spans="1:9" x14ac:dyDescent="0.25">
      <c r="A1" t="s">
        <v>700</v>
      </c>
    </row>
    <row r="2" spans="1:9" x14ac:dyDescent="0.25">
      <c r="A2" s="10" t="s">
        <v>607</v>
      </c>
      <c r="B2" s="18"/>
      <c r="C2" s="18"/>
      <c r="D2" s="10"/>
    </row>
    <row r="4" spans="1:9" ht="29.25" customHeight="1" x14ac:dyDescent="0.25">
      <c r="A4" s="43" t="s">
        <v>701</v>
      </c>
      <c r="B4" s="6" t="e">
        <f>'Release Calculations - 100k lbs'!#REF!</f>
        <v>#REF!</v>
      </c>
      <c r="C4" s="6" t="s">
        <v>620</v>
      </c>
    </row>
    <row r="5" spans="1:9" x14ac:dyDescent="0.25">
      <c r="A5" s="84" t="s">
        <v>702</v>
      </c>
      <c r="B5" s="84"/>
      <c r="C5" s="84"/>
      <c r="D5" s="84"/>
      <c r="E5" s="84"/>
      <c r="F5" s="84"/>
      <c r="G5" s="84"/>
      <c r="H5" s="84"/>
      <c r="I5" s="84"/>
    </row>
    <row r="6" spans="1:9" x14ac:dyDescent="0.25">
      <c r="A6" s="111" t="s">
        <v>703</v>
      </c>
      <c r="B6" s="112"/>
      <c r="C6" s="112"/>
      <c r="D6" s="113"/>
      <c r="E6" s="44"/>
      <c r="F6" s="111" t="s">
        <v>704</v>
      </c>
      <c r="G6" s="112"/>
      <c r="H6" s="112"/>
      <c r="I6" s="113"/>
    </row>
    <row r="7" spans="1:9" x14ac:dyDescent="0.25">
      <c r="A7" s="7" t="s">
        <v>705</v>
      </c>
      <c r="B7" s="7" t="s">
        <v>706</v>
      </c>
      <c r="C7" s="7" t="s">
        <v>578</v>
      </c>
      <c r="D7" s="76" t="s">
        <v>324</v>
      </c>
      <c r="F7" s="7" t="s">
        <v>707</v>
      </c>
      <c r="G7" s="7" t="s">
        <v>708</v>
      </c>
      <c r="H7" s="7" t="s">
        <v>578</v>
      </c>
      <c r="I7" s="76" t="s">
        <v>324</v>
      </c>
    </row>
    <row r="8" spans="1:9" x14ac:dyDescent="0.25">
      <c r="A8" s="6" t="s">
        <v>709</v>
      </c>
      <c r="B8" s="8">
        <f>'Exp. Scen. 8_No. of Sites'!G9</f>
        <v>40733.333333333336</v>
      </c>
      <c r="C8" s="6" t="s">
        <v>710</v>
      </c>
      <c r="D8" s="6" t="s">
        <v>711</v>
      </c>
      <c r="F8" s="6" t="s">
        <v>709</v>
      </c>
      <c r="G8" s="8">
        <f>'Exp. Scen. 8_No. of Sites'!G22</f>
        <v>519.2074881985078</v>
      </c>
      <c r="H8" s="6" t="s">
        <v>710</v>
      </c>
      <c r="I8" s="6" t="s">
        <v>711</v>
      </c>
    </row>
    <row r="9" spans="1:9" x14ac:dyDescent="0.25">
      <c r="A9" s="6" t="s">
        <v>712</v>
      </c>
      <c r="B9" s="8">
        <f>CONVERT(B8,"m^2","ft^2")</f>
        <v>438449.95097397605</v>
      </c>
      <c r="C9" s="6" t="s">
        <v>713</v>
      </c>
      <c r="D9" s="6" t="s">
        <v>714</v>
      </c>
      <c r="F9" s="6" t="s">
        <v>712</v>
      </c>
      <c r="G9" s="8">
        <f>CONVERT(G8,"m^2","ft^2")</f>
        <v>5588.7028906536088</v>
      </c>
      <c r="H9" s="6" t="s">
        <v>713</v>
      </c>
      <c r="I9" s="6" t="s">
        <v>714</v>
      </c>
    </row>
    <row r="10" spans="1:9" ht="30" x14ac:dyDescent="0.25">
      <c r="A10" s="6" t="s">
        <v>715</v>
      </c>
      <c r="B10" s="6">
        <v>155</v>
      </c>
      <c r="C10" s="21" t="s">
        <v>716</v>
      </c>
      <c r="D10" s="21" t="s">
        <v>717</v>
      </c>
      <c r="F10" s="6" t="s">
        <v>718</v>
      </c>
      <c r="G10" s="9">
        <f>G9/B10*B12*B13</f>
        <v>4.4566812232954662</v>
      </c>
      <c r="H10" s="21" t="s">
        <v>719</v>
      </c>
      <c r="I10" s="21" t="s">
        <v>720</v>
      </c>
    </row>
    <row r="11" spans="1:9" ht="30" x14ac:dyDescent="0.25">
      <c r="A11" s="6" t="s">
        <v>721</v>
      </c>
      <c r="B11" s="6">
        <v>10.9</v>
      </c>
      <c r="C11" s="21" t="s">
        <v>722</v>
      </c>
      <c r="D11" s="21" t="s">
        <v>717</v>
      </c>
      <c r="F11" s="6" t="s">
        <v>723</v>
      </c>
      <c r="G11" s="48" t="e">
        <f>ROUND(B4/G10,0)</f>
        <v>#REF!</v>
      </c>
      <c r="H11" s="6" t="s">
        <v>622</v>
      </c>
      <c r="I11" s="6" t="s">
        <v>724</v>
      </c>
    </row>
    <row r="12" spans="1:9" x14ac:dyDescent="0.25">
      <c r="A12" s="6" t="s">
        <v>725</v>
      </c>
      <c r="B12" s="45">
        <f>CONVERT(B11,"lbm","g")/1000</f>
        <v>4.9441568330000001</v>
      </c>
      <c r="C12" s="6" t="s">
        <v>726</v>
      </c>
      <c r="D12" s="6" t="s">
        <v>727</v>
      </c>
    </row>
    <row r="13" spans="1:9" x14ac:dyDescent="0.25">
      <c r="A13" s="6" t="s">
        <v>728</v>
      </c>
      <c r="B13" s="6">
        <v>2.5000000000000001E-2</v>
      </c>
      <c r="C13" s="6" t="s">
        <v>729</v>
      </c>
      <c r="D13" s="6" t="s">
        <v>730</v>
      </c>
    </row>
    <row r="14" spans="1:9" x14ac:dyDescent="0.25">
      <c r="A14" s="6" t="s">
        <v>718</v>
      </c>
      <c r="B14" s="9">
        <f>B9/B10*B12*B13</f>
        <v>349.63956790911271</v>
      </c>
      <c r="C14" s="21" t="s">
        <v>719</v>
      </c>
      <c r="D14" s="21" t="s">
        <v>720</v>
      </c>
    </row>
    <row r="15" spans="1:9" x14ac:dyDescent="0.25">
      <c r="A15" s="6" t="s">
        <v>731</v>
      </c>
      <c r="B15" s="48" t="e">
        <f>ROUND(B4/B14,0)</f>
        <v>#REF!</v>
      </c>
      <c r="C15" s="6" t="s">
        <v>622</v>
      </c>
      <c r="D15" s="6" t="s">
        <v>724</v>
      </c>
    </row>
    <row r="18" spans="1:9" x14ac:dyDescent="0.25">
      <c r="A18" s="110" t="s">
        <v>732</v>
      </c>
      <c r="B18" s="110"/>
      <c r="C18" s="110"/>
      <c r="D18" s="110"/>
      <c r="E18" s="84"/>
      <c r="F18" s="84"/>
      <c r="G18" s="84"/>
      <c r="H18" s="84"/>
      <c r="I18" s="84"/>
    </row>
    <row r="19" spans="1:9" ht="60" x14ac:dyDescent="0.25">
      <c r="A19" s="80" t="s">
        <v>120</v>
      </c>
      <c r="B19" s="80" t="s">
        <v>733</v>
      </c>
      <c r="C19" s="80" t="s">
        <v>276</v>
      </c>
      <c r="D19" s="80" t="s">
        <v>277</v>
      </c>
      <c r="H19" s="82" t="s">
        <v>734</v>
      </c>
      <c r="I19" s="82" t="s">
        <v>735</v>
      </c>
    </row>
    <row r="20" spans="1:9" ht="105" x14ac:dyDescent="0.25">
      <c r="A20" s="21" t="s">
        <v>736</v>
      </c>
      <c r="B20" s="6">
        <v>6.0000000000000001E-3</v>
      </c>
      <c r="C20" s="21" t="s">
        <v>737</v>
      </c>
      <c r="D20" s="21" t="s">
        <v>738</v>
      </c>
      <c r="H20" s="29" t="s">
        <v>739</v>
      </c>
      <c r="I20" s="34">
        <f>B20*1</f>
        <v>6.0000000000000001E-3</v>
      </c>
    </row>
    <row r="21" spans="1:9" ht="150" x14ac:dyDescent="0.25">
      <c r="A21" s="6" t="s">
        <v>740</v>
      </c>
      <c r="B21" s="6">
        <v>0.02</v>
      </c>
      <c r="C21" s="21" t="s">
        <v>741</v>
      </c>
      <c r="D21" s="21" t="s">
        <v>742</v>
      </c>
      <c r="H21" s="29" t="s">
        <v>743</v>
      </c>
      <c r="I21" s="34">
        <f>B21*0.5</f>
        <v>0.01</v>
      </c>
    </row>
    <row r="22" spans="1:9" ht="63.75" customHeight="1" x14ac:dyDescent="0.25">
      <c r="A22" s="116" t="s">
        <v>744</v>
      </c>
      <c r="B22" s="6">
        <f>(1-B20)*(1-B21)*(1-E23)</f>
        <v>0.77929599999999999</v>
      </c>
      <c r="C22" s="83" t="s">
        <v>745</v>
      </c>
      <c r="D22" s="83" t="s">
        <v>746</v>
      </c>
      <c r="E22" s="84" t="s">
        <v>747</v>
      </c>
      <c r="F22" s="84"/>
      <c r="H22" s="29" t="s">
        <v>748</v>
      </c>
      <c r="I22" s="34">
        <f>B21*0.5</f>
        <v>0.01</v>
      </c>
    </row>
    <row r="23" spans="1:9" ht="63" customHeight="1" x14ac:dyDescent="0.25">
      <c r="A23" s="116"/>
      <c r="B23" s="6">
        <f>(1-B20)*(1-B21)*(1-F23)</f>
        <v>0.34094199999999997</v>
      </c>
      <c r="C23" s="83"/>
      <c r="D23" s="83"/>
      <c r="E23" s="6">
        <v>0.2</v>
      </c>
      <c r="F23" s="6">
        <v>0.65</v>
      </c>
      <c r="H23" s="29" t="s">
        <v>749</v>
      </c>
      <c r="I23" s="34" t="s">
        <v>750</v>
      </c>
    </row>
  </sheetData>
  <mergeCells count="8">
    <mergeCell ref="A22:A23"/>
    <mergeCell ref="D22:D23"/>
    <mergeCell ref="C22:C23"/>
    <mergeCell ref="E22:F22"/>
    <mergeCell ref="A5:I5"/>
    <mergeCell ref="A18:I18"/>
    <mergeCell ref="A6:D6"/>
    <mergeCell ref="F6:I6"/>
  </mergeCells>
  <pageMargins left="0.7" right="0.7" top="0.75" bottom="0.75" header="0.3" footer="0.3"/>
  <pageSetup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2E113-404C-425F-B42B-711F40CE568D}">
  <sheetPr codeName="Sheet18"/>
  <dimension ref="A1:M26"/>
  <sheetViews>
    <sheetView zoomScale="90" zoomScaleNormal="90" workbookViewId="0">
      <selection activeCell="A3" sqref="A3"/>
    </sheetView>
  </sheetViews>
  <sheetFormatPr defaultRowHeight="15" x14ac:dyDescent="0.25"/>
  <cols>
    <col min="1" max="1" width="26.7109375" style="125" customWidth="1"/>
    <col min="2" max="2" width="16.7109375" style="125" customWidth="1"/>
    <col min="3" max="3" width="30.7109375" style="125" customWidth="1"/>
    <col min="4" max="4" width="31.7109375" style="125" customWidth="1"/>
    <col min="5" max="5" width="21.7109375" style="125" customWidth="1"/>
    <col min="6" max="6" width="20.28515625" style="125" bestFit="1" customWidth="1"/>
    <col min="7" max="7" width="16" style="125" bestFit="1" customWidth="1"/>
    <col min="8" max="8" width="49.140625" style="125" customWidth="1"/>
    <col min="9" max="9" width="32.28515625" style="125" bestFit="1" customWidth="1"/>
    <col min="10" max="10" width="16" style="125" customWidth="1"/>
    <col min="11" max="16384" width="9.140625" style="125"/>
  </cols>
  <sheetData>
    <row r="1" spans="1:13" x14ac:dyDescent="0.25">
      <c r="A1" s="125" t="s">
        <v>751</v>
      </c>
    </row>
    <row r="3" spans="1:13" x14ac:dyDescent="0.25">
      <c r="B3" s="669" t="s">
        <v>45</v>
      </c>
      <c r="C3" s="669" t="s">
        <v>46</v>
      </c>
    </row>
    <row r="4" spans="1:13" ht="42.75" x14ac:dyDescent="0.25">
      <c r="A4" s="670" t="s">
        <v>752</v>
      </c>
      <c r="B4" s="203">
        <f>0.05*100000</f>
        <v>5000</v>
      </c>
      <c r="C4" s="428">
        <f>CONVERT(B4,"lbm","g")/1000</f>
        <v>2267.9618500000001</v>
      </c>
    </row>
    <row r="5" spans="1:13" s="674" customFormat="1" x14ac:dyDescent="0.25">
      <c r="A5" s="671"/>
      <c r="B5" s="672"/>
      <c r="C5" s="673"/>
    </row>
    <row r="6" spans="1:13" x14ac:dyDescent="0.25">
      <c r="A6" s="168" t="s">
        <v>753</v>
      </c>
      <c r="B6" s="168"/>
      <c r="C6" s="168"/>
      <c r="D6" s="168"/>
      <c r="E6" s="675"/>
      <c r="F6" s="168" t="s">
        <v>754</v>
      </c>
      <c r="G6" s="168"/>
      <c r="H6" s="168"/>
      <c r="I6" s="675"/>
    </row>
    <row r="7" spans="1:13" x14ac:dyDescent="0.25">
      <c r="A7" s="603" t="s">
        <v>755</v>
      </c>
      <c r="B7" s="603" t="s">
        <v>706</v>
      </c>
      <c r="C7" s="603" t="s">
        <v>578</v>
      </c>
      <c r="D7" s="596" t="s">
        <v>324</v>
      </c>
      <c r="F7" s="603" t="s">
        <v>707</v>
      </c>
      <c r="G7" s="603" t="s">
        <v>708</v>
      </c>
      <c r="H7" s="603" t="s">
        <v>578</v>
      </c>
      <c r="I7" s="623"/>
    </row>
    <row r="8" spans="1:13" ht="45" x14ac:dyDescent="0.25">
      <c r="A8" s="202" t="s">
        <v>756</v>
      </c>
      <c r="B8" s="202">
        <v>1000</v>
      </c>
      <c r="C8" s="202" t="s">
        <v>757</v>
      </c>
      <c r="D8" s="561" t="s">
        <v>902</v>
      </c>
      <c r="F8" s="202" t="s">
        <v>758</v>
      </c>
      <c r="G8" s="202">
        <f>B8*B9</f>
        <v>10</v>
      </c>
      <c r="H8" s="202" t="s">
        <v>759</v>
      </c>
      <c r="I8" s="674"/>
    </row>
    <row r="9" spans="1:13" ht="45" x14ac:dyDescent="0.25">
      <c r="A9" s="202" t="s">
        <v>760</v>
      </c>
      <c r="B9" s="202">
        <v>0.01</v>
      </c>
      <c r="C9" s="202" t="s">
        <v>761</v>
      </c>
      <c r="D9" s="561" t="s">
        <v>903</v>
      </c>
      <c r="F9" s="202" t="s">
        <v>762</v>
      </c>
      <c r="G9" s="416">
        <f>ROUND(C4/G8,0)</f>
        <v>227</v>
      </c>
      <c r="H9" s="202" t="s">
        <v>622</v>
      </c>
      <c r="I9" s="674"/>
    </row>
    <row r="10" spans="1:13" x14ac:dyDescent="0.25">
      <c r="A10" s="202" t="s">
        <v>763</v>
      </c>
      <c r="B10" s="202">
        <v>2.2050000000000001</v>
      </c>
      <c r="C10" s="202" t="s">
        <v>764</v>
      </c>
      <c r="D10" s="202" t="s">
        <v>765</v>
      </c>
    </row>
    <row r="13" spans="1:13" x14ac:dyDescent="0.25">
      <c r="A13" s="168" t="s">
        <v>593</v>
      </c>
      <c r="B13" s="168"/>
      <c r="C13" s="168"/>
      <c r="D13" s="168"/>
      <c r="E13" s="168"/>
      <c r="F13" s="676"/>
      <c r="G13" s="676"/>
      <c r="H13" s="557" t="s">
        <v>274</v>
      </c>
      <c r="I13" s="557"/>
      <c r="J13" s="557"/>
    </row>
    <row r="14" spans="1:13" ht="28.5" x14ac:dyDescent="0.25">
      <c r="A14" s="134" t="s">
        <v>120</v>
      </c>
      <c r="B14" s="557" t="s">
        <v>766</v>
      </c>
      <c r="C14" s="557"/>
      <c r="D14" s="134" t="s">
        <v>276</v>
      </c>
      <c r="E14" s="134" t="s">
        <v>277</v>
      </c>
      <c r="H14" s="134" t="s">
        <v>278</v>
      </c>
      <c r="I14" s="134" t="s">
        <v>279</v>
      </c>
      <c r="J14" s="134" t="s">
        <v>280</v>
      </c>
    </row>
    <row r="15" spans="1:13" ht="120" x14ac:dyDescent="0.25">
      <c r="A15" s="561" t="s">
        <v>736</v>
      </c>
      <c r="B15" s="202">
        <v>6.0000000000000001E-3</v>
      </c>
      <c r="C15" s="202">
        <v>6.0000000000000001E-3</v>
      </c>
      <c r="D15" s="561" t="s">
        <v>767</v>
      </c>
      <c r="E15" s="561" t="s">
        <v>738</v>
      </c>
      <c r="H15" s="677" t="s">
        <v>768</v>
      </c>
      <c r="I15" s="677">
        <f>B15+B17</f>
        <v>9.0000000000000011E-2</v>
      </c>
      <c r="J15" s="677">
        <f>C15+C17</f>
        <v>0.08</v>
      </c>
      <c r="M15" s="487"/>
    </row>
    <row r="16" spans="1:13" ht="195" x14ac:dyDescent="0.25">
      <c r="A16" s="202" t="s">
        <v>740</v>
      </c>
      <c r="B16" s="125">
        <v>0.01</v>
      </c>
      <c r="C16" s="202">
        <v>0.02</v>
      </c>
      <c r="D16" s="561" t="s">
        <v>68</v>
      </c>
      <c r="E16" s="561" t="s">
        <v>904</v>
      </c>
      <c r="H16" s="677" t="s">
        <v>769</v>
      </c>
      <c r="I16" s="677">
        <f>B16</f>
        <v>0.01</v>
      </c>
      <c r="J16" s="677">
        <f>C16</f>
        <v>0.02</v>
      </c>
    </row>
    <row r="17" spans="1:10" ht="90.75" customHeight="1" x14ac:dyDescent="0.25">
      <c r="A17" s="643" t="s">
        <v>770</v>
      </c>
      <c r="B17" s="202">
        <f>0.1-B16-B15</f>
        <v>8.4000000000000005E-2</v>
      </c>
      <c r="C17" s="202">
        <f>0.1-C16-C15</f>
        <v>7.3999999999999996E-2</v>
      </c>
      <c r="D17" s="643" t="s">
        <v>771</v>
      </c>
      <c r="E17" s="643" t="s">
        <v>905</v>
      </c>
      <c r="F17" s="150"/>
    </row>
    <row r="18" spans="1:10" x14ac:dyDescent="0.25">
      <c r="H18" s="678"/>
      <c r="I18" s="678"/>
      <c r="J18" s="678"/>
    </row>
    <row r="21" spans="1:10" x14ac:dyDescent="0.25">
      <c r="A21" s="555" t="s">
        <v>286</v>
      </c>
      <c r="B21" s="555"/>
      <c r="C21" s="555"/>
      <c r="D21" s="555"/>
      <c r="E21" s="555"/>
      <c r="F21" s="555" t="s">
        <v>287</v>
      </c>
    </row>
    <row r="22" spans="1:10" x14ac:dyDescent="0.25">
      <c r="A22" s="555" t="s">
        <v>288</v>
      </c>
      <c r="B22" s="555"/>
      <c r="C22" s="555"/>
      <c r="D22" s="555" t="s">
        <v>289</v>
      </c>
      <c r="E22" s="555"/>
      <c r="F22" s="555"/>
    </row>
    <row r="23" spans="1:10" ht="29.25" x14ac:dyDescent="0.25">
      <c r="A23" s="548" t="s">
        <v>290</v>
      </c>
      <c r="B23" s="548" t="s">
        <v>291</v>
      </c>
      <c r="C23" s="548" t="s">
        <v>292</v>
      </c>
      <c r="D23" s="548" t="s">
        <v>293</v>
      </c>
      <c r="E23" s="548" t="s">
        <v>294</v>
      </c>
      <c r="F23" s="555"/>
    </row>
    <row r="24" spans="1:10" x14ac:dyDescent="0.25">
      <c r="A24" s="666" t="s">
        <v>693</v>
      </c>
      <c r="B24" s="666"/>
      <c r="C24" s="666"/>
      <c r="D24" s="666"/>
      <c r="E24" s="666"/>
      <c r="F24" s="666"/>
    </row>
    <row r="25" spans="1:10" ht="51" customHeight="1" x14ac:dyDescent="0.25">
      <c r="A25" s="573" t="s">
        <v>296</v>
      </c>
      <c r="B25" s="573"/>
      <c r="C25" s="573" t="s">
        <v>772</v>
      </c>
      <c r="D25" s="203">
        <f>0.05*100000</f>
        <v>5000</v>
      </c>
      <c r="E25" s="575">
        <f>ROUND(0.8*2*CONVERT(D25,"lbm","g")/1000/1000,0)</f>
        <v>4</v>
      </c>
      <c r="F25" s="575" t="s">
        <v>300</v>
      </c>
    </row>
    <row r="26" spans="1:10" ht="51" customHeight="1" x14ac:dyDescent="0.25">
      <c r="A26" s="573"/>
      <c r="B26" s="573"/>
      <c r="C26" s="573"/>
      <c r="D26" s="203">
        <f>0.05*100000</f>
        <v>5000</v>
      </c>
      <c r="E26" s="575">
        <v>300</v>
      </c>
      <c r="F26" s="575" t="s">
        <v>298</v>
      </c>
    </row>
  </sheetData>
  <sheetProtection algorithmName="SHA-512" hashValue="Crg5tnIOqaWhgxuhb96gPCmgYixZ3BOOWpbqKEmvEPGZtid7+CYpqD0pOu15U6ViZegKZBY/bwO2L558e/cavg==" saltValue="W083hf74n+05htbV36aYhQ==" spinCount="100000" sheet="1" objects="1" scenarios="1"/>
  <mergeCells count="12">
    <mergeCell ref="A25:B26"/>
    <mergeCell ref="C25:C26"/>
    <mergeCell ref="A6:D6"/>
    <mergeCell ref="F6:H6"/>
    <mergeCell ref="A13:E13"/>
    <mergeCell ref="H13:J13"/>
    <mergeCell ref="A24:F24"/>
    <mergeCell ref="A22:C22"/>
    <mergeCell ref="B14:C14"/>
    <mergeCell ref="A21:E21"/>
    <mergeCell ref="F21:F23"/>
    <mergeCell ref="D22:E22"/>
  </mergeCells>
  <pageMargins left="0.7" right="0.7" top="0.75" bottom="0.75" header="0.3" footer="0.3"/>
  <pageSetup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FD89F-904F-47CB-AEC0-14C20580A21C}">
  <dimension ref="A1:M25"/>
  <sheetViews>
    <sheetView topLeftCell="B17" zoomScale="90" zoomScaleNormal="90" workbookViewId="0">
      <selection activeCell="E17" sqref="E17"/>
    </sheetView>
  </sheetViews>
  <sheetFormatPr defaultRowHeight="15" x14ac:dyDescent="0.25"/>
  <cols>
    <col min="1" max="1" width="26.7109375" customWidth="1"/>
    <col min="2" max="2" width="30.140625" customWidth="1"/>
    <col min="3" max="3" width="30.7109375" customWidth="1"/>
    <col min="4" max="4" width="31.7109375" customWidth="1"/>
    <col min="5" max="5" width="21.7109375" customWidth="1"/>
    <col min="6" max="6" width="20.28515625" bestFit="1" customWidth="1"/>
    <col min="7" max="7" width="16" bestFit="1" customWidth="1"/>
    <col min="8" max="8" width="30" customWidth="1"/>
    <col min="9" max="9" width="32.28515625" bestFit="1" customWidth="1"/>
    <col min="10" max="10" width="16" customWidth="1"/>
  </cols>
  <sheetData>
    <row r="1" spans="1:9" x14ac:dyDescent="0.25">
      <c r="A1" t="s">
        <v>773</v>
      </c>
    </row>
    <row r="3" spans="1:9" x14ac:dyDescent="0.25">
      <c r="B3" s="76" t="s">
        <v>774</v>
      </c>
      <c r="C3" s="58" t="s">
        <v>775</v>
      </c>
      <c r="D3" s="57" t="s">
        <v>292</v>
      </c>
    </row>
    <row r="4" spans="1:9" ht="60" x14ac:dyDescent="0.25">
      <c r="A4" s="57" t="s">
        <v>776</v>
      </c>
      <c r="B4" s="8">
        <f>17-4</f>
        <v>13</v>
      </c>
      <c r="C4" s="6">
        <f>17+4</f>
        <v>21</v>
      </c>
      <c r="D4" s="5" t="s">
        <v>777</v>
      </c>
    </row>
    <row r="5" spans="1:9" s="62" customFormat="1" x14ac:dyDescent="0.25">
      <c r="A5" s="59"/>
      <c r="B5" s="60"/>
      <c r="C5" s="61"/>
      <c r="E5"/>
      <c r="F5"/>
    </row>
    <row r="6" spans="1:9" x14ac:dyDescent="0.25">
      <c r="A6" s="84" t="s">
        <v>778</v>
      </c>
      <c r="B6" s="84"/>
      <c r="C6" s="84"/>
      <c r="D6" s="63"/>
      <c r="I6" s="63"/>
    </row>
    <row r="7" spans="1:9" x14ac:dyDescent="0.25">
      <c r="A7" s="7" t="s">
        <v>705</v>
      </c>
      <c r="B7" s="7" t="s">
        <v>579</v>
      </c>
      <c r="C7" s="7" t="s">
        <v>292</v>
      </c>
      <c r="I7" s="54"/>
    </row>
    <row r="8" spans="1:9" ht="90" x14ac:dyDescent="0.25">
      <c r="A8" s="6" t="s">
        <v>261</v>
      </c>
      <c r="B8" s="6">
        <v>572</v>
      </c>
      <c r="C8" s="69" t="s">
        <v>779</v>
      </c>
      <c r="E8" s="47"/>
      <c r="I8" s="62"/>
    </row>
    <row r="9" spans="1:9" x14ac:dyDescent="0.25">
      <c r="A9" s="6" t="s">
        <v>780</v>
      </c>
      <c r="B9" s="6">
        <v>250</v>
      </c>
      <c r="C9" s="70" t="s">
        <v>781</v>
      </c>
      <c r="E9" s="68"/>
      <c r="I9" s="62"/>
    </row>
    <row r="11" spans="1:9" x14ac:dyDescent="0.25">
      <c r="A11" s="84" t="s">
        <v>782</v>
      </c>
      <c r="B11" s="84"/>
      <c r="C11" s="84"/>
    </row>
    <row r="12" spans="1:9" x14ac:dyDescent="0.25">
      <c r="A12" s="7" t="s">
        <v>705</v>
      </c>
      <c r="B12" s="7" t="s">
        <v>783</v>
      </c>
      <c r="C12" s="7" t="s">
        <v>292</v>
      </c>
    </row>
    <row r="13" spans="1:9" ht="75" x14ac:dyDescent="0.25">
      <c r="A13" s="21" t="s">
        <v>784</v>
      </c>
      <c r="B13" s="72">
        <f>CONVERT(30000,"uk_ton","g")/1000*C4/1000000</f>
        <v>640.10955254399994</v>
      </c>
      <c r="C13" s="70" t="s">
        <v>785</v>
      </c>
      <c r="D13" s="30"/>
      <c r="E13" s="74"/>
    </row>
    <row r="14" spans="1:9" ht="75" x14ac:dyDescent="0.25">
      <c r="A14" s="21" t="s">
        <v>786</v>
      </c>
      <c r="B14" s="72">
        <f>CONVERT(30000,"uk_ton","g")/1000*B4/1000000</f>
        <v>396.25829443199996</v>
      </c>
      <c r="C14" s="70" t="s">
        <v>785</v>
      </c>
      <c r="D14" s="30"/>
      <c r="E14" s="74"/>
    </row>
    <row r="15" spans="1:9" ht="105" x14ac:dyDescent="0.25">
      <c r="A15" s="21" t="s">
        <v>787</v>
      </c>
      <c r="B15" s="68">
        <f>CONVERT(1230000,"ton","g")/1000*C4/1000000/B8</f>
        <v>40.96605215769231</v>
      </c>
      <c r="C15" s="53" t="s">
        <v>788</v>
      </c>
    </row>
    <row r="16" spans="1:9" ht="105" x14ac:dyDescent="0.25">
      <c r="A16" s="21" t="s">
        <v>789</v>
      </c>
      <c r="B16" s="9">
        <f>CONVERT(1230000,"ton","g")/1000*B4/1000000/B8</f>
        <v>25.359937049999999</v>
      </c>
      <c r="C16" s="53" t="s">
        <v>788</v>
      </c>
    </row>
    <row r="19" spans="1:13" x14ac:dyDescent="0.25">
      <c r="A19" s="84" t="s">
        <v>593</v>
      </c>
      <c r="B19" s="84"/>
      <c r="C19" s="84"/>
      <c r="D19" s="84"/>
      <c r="E19" s="84"/>
      <c r="G19" s="117" t="s">
        <v>790</v>
      </c>
      <c r="H19" s="117"/>
      <c r="I19" s="117"/>
    </row>
    <row r="20" spans="1:13" ht="30" x14ac:dyDescent="0.25">
      <c r="A20" s="80" t="s">
        <v>120</v>
      </c>
      <c r="B20" s="108" t="s">
        <v>791</v>
      </c>
      <c r="C20" s="109"/>
      <c r="D20" s="80" t="s">
        <v>276</v>
      </c>
      <c r="E20" s="80" t="s">
        <v>277</v>
      </c>
      <c r="G20" s="80" t="s">
        <v>696</v>
      </c>
      <c r="H20" s="80" t="s">
        <v>792</v>
      </c>
      <c r="I20" s="80" t="s">
        <v>793</v>
      </c>
    </row>
    <row r="21" spans="1:13" ht="60" x14ac:dyDescent="0.25">
      <c r="A21" s="21" t="s">
        <v>794</v>
      </c>
      <c r="B21" s="6">
        <f>0.04-0.04*(0.44)</f>
        <v>2.24E-2</v>
      </c>
      <c r="C21" s="71">
        <f>0.04*1.44</f>
        <v>5.7599999999999998E-2</v>
      </c>
      <c r="D21" s="21" t="s">
        <v>110</v>
      </c>
      <c r="E21" s="21" t="s">
        <v>795</v>
      </c>
      <c r="G21" s="21" t="s">
        <v>110</v>
      </c>
      <c r="H21" s="64">
        <f>SUM(B21:B23)</f>
        <v>7.8660000000000008E-2</v>
      </c>
      <c r="I21" s="64">
        <f>SUM(C21:C23)</f>
        <v>0.14937999999999999</v>
      </c>
      <c r="M21" s="5"/>
    </row>
    <row r="22" spans="1:13" ht="75" x14ac:dyDescent="0.25">
      <c r="A22" s="21" t="s">
        <v>796</v>
      </c>
      <c r="B22" s="6">
        <f>0.074-0.074*0.24</f>
        <v>5.6239999999999998E-2</v>
      </c>
      <c r="C22" s="71">
        <f>0.074*1.24</f>
        <v>9.1759999999999994E-2</v>
      </c>
      <c r="D22" s="21" t="s">
        <v>110</v>
      </c>
      <c r="E22" s="21" t="s">
        <v>797</v>
      </c>
      <c r="F22" s="1"/>
      <c r="M22" s="5"/>
    </row>
    <row r="23" spans="1:13" ht="60" x14ac:dyDescent="0.25">
      <c r="A23" s="21" t="s">
        <v>798</v>
      </c>
      <c r="B23" s="6">
        <v>2.0000000000000002E-5</v>
      </c>
      <c r="C23" s="73">
        <v>2.0000000000000002E-5</v>
      </c>
      <c r="D23" s="21" t="s">
        <v>110</v>
      </c>
      <c r="E23" s="21" t="s">
        <v>799</v>
      </c>
      <c r="F23" s="1"/>
    </row>
    <row r="24" spans="1:13" ht="90.75" customHeight="1" x14ac:dyDescent="0.25">
      <c r="F24" s="1"/>
    </row>
    <row r="25" spans="1:13" x14ac:dyDescent="0.25">
      <c r="H25" s="11"/>
      <c r="I25" s="11"/>
      <c r="J25" s="11"/>
    </row>
  </sheetData>
  <sheetProtection algorithmName="SHA-512" hashValue="BJGqUhhjZ2WChozE8D/loLW30xyvguvPe8GeGTsFnwuTzOHGJKRdYN+AYjW8vC5OULxdawCBbE14EDRzCldZuw==" saltValue="T7REfMsa1PsEuW7e23cBHg==" spinCount="100000" sheet="1" objects="1" scenarios="1"/>
  <mergeCells count="5">
    <mergeCell ref="B20:C20"/>
    <mergeCell ref="A19:E19"/>
    <mergeCell ref="A11:C11"/>
    <mergeCell ref="G19:I19"/>
    <mergeCell ref="A6:C6"/>
  </mergeCells>
  <hyperlinks>
    <hyperlink ref="C8" r:id="rId1" display="https://www.epa.gov/sites/production/files/2016-02/documents/u_s_epa_fact_sheet_implementation_study_1.pdf" xr:uid="{E6884B76-91CA-42D4-9B26-C797306C496E}"/>
  </hyperlinks>
  <pageMargins left="0.7" right="0.7" top="0.75" bottom="0.75" header="0.3" footer="0.3"/>
  <pageSetup orientation="portrait" verticalDpi="0"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7DC3CF-BF22-4A6A-9E33-263A7D8E8C72}">
  <sheetPr codeName="Sheet13"/>
  <dimension ref="A1:I28"/>
  <sheetViews>
    <sheetView workbookViewId="0">
      <selection activeCell="A32" sqref="A32"/>
    </sheetView>
  </sheetViews>
  <sheetFormatPr defaultRowHeight="15" x14ac:dyDescent="0.25"/>
  <cols>
    <col min="1" max="1" width="24.28515625" bestFit="1" customWidth="1"/>
    <col min="2" max="2" width="11.85546875" customWidth="1"/>
    <col min="3" max="3" width="25" customWidth="1"/>
    <col min="6" max="6" width="20.7109375" customWidth="1"/>
    <col min="7" max="7" width="10.7109375" customWidth="1"/>
    <col min="8" max="8" width="16.42578125" bestFit="1" customWidth="1"/>
    <col min="9" max="9" width="47.140625" customWidth="1"/>
  </cols>
  <sheetData>
    <row r="1" spans="1:9" x14ac:dyDescent="0.25">
      <c r="A1" t="s">
        <v>800</v>
      </c>
    </row>
    <row r="3" spans="1:9" x14ac:dyDescent="0.25">
      <c r="A3" s="7" t="s">
        <v>801</v>
      </c>
      <c r="B3" s="6">
        <f>'Release Calculations - 100k lbs'!D4</f>
        <v>45359.237000000001</v>
      </c>
      <c r="C3" s="6" t="s">
        <v>46</v>
      </c>
    </row>
    <row r="4" spans="1:9" x14ac:dyDescent="0.25">
      <c r="A4" s="7" t="s">
        <v>802</v>
      </c>
      <c r="B4" s="6">
        <f>B3</f>
        <v>45359.237000000001</v>
      </c>
      <c r="C4" s="6" t="s">
        <v>46</v>
      </c>
    </row>
    <row r="5" spans="1:9" x14ac:dyDescent="0.25">
      <c r="A5" s="55"/>
      <c r="B5" s="51"/>
      <c r="C5" s="51"/>
    </row>
    <row r="6" spans="1:9" x14ac:dyDescent="0.25">
      <c r="A6" s="7" t="s">
        <v>803</v>
      </c>
      <c r="B6" s="7" t="s">
        <v>578</v>
      </c>
      <c r="C6" s="7" t="s">
        <v>292</v>
      </c>
      <c r="F6" s="84" t="s">
        <v>804</v>
      </c>
      <c r="G6" s="84"/>
      <c r="H6" s="84"/>
      <c r="I6" s="84"/>
    </row>
    <row r="7" spans="1:9" x14ac:dyDescent="0.25">
      <c r="A7">
        <v>45</v>
      </c>
      <c r="B7" t="s">
        <v>636</v>
      </c>
      <c r="C7" t="s">
        <v>805</v>
      </c>
      <c r="F7" s="7" t="s">
        <v>806</v>
      </c>
      <c r="G7" s="7" t="s">
        <v>735</v>
      </c>
      <c r="H7" s="7" t="s">
        <v>807</v>
      </c>
      <c r="I7" s="7" t="s">
        <v>808</v>
      </c>
    </row>
    <row r="8" spans="1:9" x14ac:dyDescent="0.25">
      <c r="A8">
        <v>35</v>
      </c>
      <c r="B8" t="s">
        <v>636</v>
      </c>
      <c r="C8" t="s">
        <v>316</v>
      </c>
      <c r="F8" t="s">
        <v>809</v>
      </c>
      <c r="G8">
        <v>2444</v>
      </c>
      <c r="H8" t="s">
        <v>639</v>
      </c>
      <c r="I8" t="s">
        <v>805</v>
      </c>
    </row>
    <row r="9" spans="1:9" x14ac:dyDescent="0.25">
      <c r="A9" s="16" t="s">
        <v>810</v>
      </c>
      <c r="B9" s="1">
        <f>A7*0.5+A8*0.5</f>
        <v>40</v>
      </c>
      <c r="C9" s="1" t="s">
        <v>636</v>
      </c>
      <c r="F9" t="s">
        <v>811</v>
      </c>
      <c r="G9" s="3">
        <f>G8/A12</f>
        <v>40733.333333333336</v>
      </c>
      <c r="H9" t="s">
        <v>643</v>
      </c>
      <c r="I9" t="s">
        <v>812</v>
      </c>
    </row>
    <row r="10" spans="1:9" x14ac:dyDescent="0.25">
      <c r="F10" t="s">
        <v>813</v>
      </c>
      <c r="G10">
        <f>G8*B9</f>
        <v>97760</v>
      </c>
      <c r="H10" t="s">
        <v>633</v>
      </c>
      <c r="I10" t="s">
        <v>812</v>
      </c>
    </row>
    <row r="11" spans="1:9" x14ac:dyDescent="0.25">
      <c r="A11" s="7" t="s">
        <v>814</v>
      </c>
      <c r="B11" s="7" t="s">
        <v>578</v>
      </c>
      <c r="C11" s="7" t="s">
        <v>292</v>
      </c>
      <c r="F11" t="s">
        <v>627</v>
      </c>
      <c r="G11">
        <f>G10*B20</f>
        <v>1319.76</v>
      </c>
      <c r="H11" t="s">
        <v>815</v>
      </c>
      <c r="I11" t="s">
        <v>812</v>
      </c>
    </row>
    <row r="12" spans="1:9" x14ac:dyDescent="0.25">
      <c r="A12">
        <v>0.06</v>
      </c>
      <c r="B12" t="s">
        <v>816</v>
      </c>
      <c r="C12" t="s">
        <v>316</v>
      </c>
      <c r="F12" t="s">
        <v>817</v>
      </c>
      <c r="G12">
        <v>3</v>
      </c>
      <c r="H12" t="s">
        <v>818</v>
      </c>
      <c r="I12" t="s">
        <v>604</v>
      </c>
    </row>
    <row r="13" spans="1:9" x14ac:dyDescent="0.25">
      <c r="A13">
        <v>0.6</v>
      </c>
      <c r="B13" t="s">
        <v>819</v>
      </c>
      <c r="C13" t="s">
        <v>316</v>
      </c>
      <c r="F13" s="52" t="s">
        <v>820</v>
      </c>
      <c r="G13" s="52">
        <f>G11/G12</f>
        <v>439.92</v>
      </c>
      <c r="H13" s="52" t="s">
        <v>821</v>
      </c>
      <c r="I13" t="s">
        <v>812</v>
      </c>
    </row>
    <row r="14" spans="1:9" ht="45" customHeight="1" x14ac:dyDescent="0.25">
      <c r="A14">
        <v>1.25</v>
      </c>
      <c r="B14" t="s">
        <v>822</v>
      </c>
      <c r="C14" t="s">
        <v>316</v>
      </c>
      <c r="F14" s="52" t="s">
        <v>823</v>
      </c>
      <c r="G14" s="66">
        <f>B4/G13/G12</f>
        <v>34.369307298296661</v>
      </c>
      <c r="H14" s="52" t="s">
        <v>622</v>
      </c>
      <c r="I14" t="s">
        <v>812</v>
      </c>
    </row>
    <row r="15" spans="1:9" x14ac:dyDescent="0.25">
      <c r="A15" s="1" t="s">
        <v>824</v>
      </c>
      <c r="B15" s="1">
        <f>A12*A13*A14</f>
        <v>4.4999999999999998E-2</v>
      </c>
      <c r="C15" s="1" t="s">
        <v>639</v>
      </c>
      <c r="F15" s="111" t="s">
        <v>825</v>
      </c>
      <c r="G15" s="112"/>
      <c r="H15" s="112"/>
      <c r="I15" s="113"/>
    </row>
    <row r="16" spans="1:9" x14ac:dyDescent="0.25">
      <c r="F16" s="7" t="s">
        <v>806</v>
      </c>
      <c r="G16" s="7" t="s">
        <v>735</v>
      </c>
      <c r="H16" s="7" t="s">
        <v>807</v>
      </c>
      <c r="I16" s="7" t="s">
        <v>808</v>
      </c>
    </row>
    <row r="17" spans="1:9" x14ac:dyDescent="0.25">
      <c r="A17" s="84" t="s">
        <v>826</v>
      </c>
      <c r="B17" s="84"/>
      <c r="C17" s="7" t="s">
        <v>292</v>
      </c>
      <c r="F17" t="s">
        <v>827</v>
      </c>
      <c r="G17" s="3">
        <v>2169</v>
      </c>
      <c r="H17" t="s">
        <v>828</v>
      </c>
      <c r="I17" s="19" t="s">
        <v>829</v>
      </c>
    </row>
    <row r="18" spans="1:9" ht="30" x14ac:dyDescent="0.25">
      <c r="A18" t="s">
        <v>830</v>
      </c>
      <c r="B18">
        <v>7.0000000000000001E-3</v>
      </c>
      <c r="C18" t="s">
        <v>316</v>
      </c>
      <c r="F18" s="5" t="s">
        <v>831</v>
      </c>
      <c r="G18" s="3">
        <f>SQRT(G17)</f>
        <v>46.572524088780071</v>
      </c>
      <c r="H18" t="s">
        <v>832</v>
      </c>
      <c r="I18" t="s">
        <v>812</v>
      </c>
    </row>
    <row r="19" spans="1:9" x14ac:dyDescent="0.25">
      <c r="A19" t="s">
        <v>833</v>
      </c>
      <c r="B19">
        <v>0.02</v>
      </c>
      <c r="C19" t="s">
        <v>316</v>
      </c>
      <c r="F19" t="s">
        <v>834</v>
      </c>
      <c r="G19" s="3">
        <v>10</v>
      </c>
      <c r="H19" t="s">
        <v>832</v>
      </c>
      <c r="I19" t="s">
        <v>835</v>
      </c>
    </row>
    <row r="20" spans="1:9" x14ac:dyDescent="0.25">
      <c r="A20" s="1" t="s">
        <v>836</v>
      </c>
      <c r="B20" s="1">
        <f>B18*0.5+B19*0.5</f>
        <v>1.35E-2</v>
      </c>
      <c r="F20" t="s">
        <v>837</v>
      </c>
      <c r="G20" s="3">
        <f>G19*G18</f>
        <v>465.72524088780074</v>
      </c>
      <c r="H20" t="s">
        <v>828</v>
      </c>
      <c r="I20" t="s">
        <v>812</v>
      </c>
    </row>
    <row r="21" spans="1:9" ht="45" x14ac:dyDescent="0.25">
      <c r="F21" s="20" t="s">
        <v>838</v>
      </c>
      <c r="G21" s="65">
        <f>G20*4*3</f>
        <v>5588.7028906536088</v>
      </c>
      <c r="H21" t="s">
        <v>828</v>
      </c>
      <c r="I21" t="s">
        <v>812</v>
      </c>
    </row>
    <row r="22" spans="1:9" ht="30" x14ac:dyDescent="0.25">
      <c r="A22" s="118"/>
      <c r="B22" s="118"/>
      <c r="C22" s="1"/>
      <c r="D22" s="1"/>
      <c r="F22" s="20" t="s">
        <v>839</v>
      </c>
      <c r="G22" s="3">
        <f>CONVERT(G21,"ft^2","m^2")</f>
        <v>519.2074881985078</v>
      </c>
      <c r="H22" t="s">
        <v>643</v>
      </c>
      <c r="I22" t="s">
        <v>812</v>
      </c>
    </row>
    <row r="23" spans="1:9" ht="30" x14ac:dyDescent="0.25">
      <c r="F23" s="5" t="s">
        <v>840</v>
      </c>
      <c r="G23" s="65">
        <f>G22*A12</f>
        <v>31.152449291910468</v>
      </c>
      <c r="H23" t="s">
        <v>639</v>
      </c>
      <c r="I23" t="s">
        <v>812</v>
      </c>
    </row>
    <row r="24" spans="1:9" x14ac:dyDescent="0.25">
      <c r="F24" t="s">
        <v>841</v>
      </c>
      <c r="G24" s="3">
        <f>G23*B9</f>
        <v>1246.0979716764186</v>
      </c>
      <c r="H24" t="s">
        <v>842</v>
      </c>
      <c r="I24" t="s">
        <v>812</v>
      </c>
    </row>
    <row r="25" spans="1:9" x14ac:dyDescent="0.25">
      <c r="F25" t="s">
        <v>843</v>
      </c>
      <c r="G25" s="2">
        <f>G24*B20</f>
        <v>16.822322617631652</v>
      </c>
      <c r="H25" t="s">
        <v>620</v>
      </c>
      <c r="I25" t="s">
        <v>812</v>
      </c>
    </row>
    <row r="26" spans="1:9" x14ac:dyDescent="0.25">
      <c r="F26" t="s">
        <v>844</v>
      </c>
      <c r="G26">
        <v>1</v>
      </c>
      <c r="H26" t="s">
        <v>818</v>
      </c>
      <c r="I26" t="s">
        <v>604</v>
      </c>
    </row>
    <row r="27" spans="1:9" x14ac:dyDescent="0.25">
      <c r="F27" s="52" t="s">
        <v>820</v>
      </c>
      <c r="G27" s="67">
        <f>G25/G26</f>
        <v>16.822322617631652</v>
      </c>
      <c r="H27" s="52" t="s">
        <v>821</v>
      </c>
      <c r="I27" t="s">
        <v>812</v>
      </c>
    </row>
    <row r="28" spans="1:9" ht="30" x14ac:dyDescent="0.25">
      <c r="F28" s="56" t="s">
        <v>845</v>
      </c>
      <c r="G28" s="66">
        <f>B4/G27/G26</f>
        <v>2696.371840619589</v>
      </c>
      <c r="H28" s="52" t="s">
        <v>622</v>
      </c>
      <c r="I28" t="s">
        <v>812</v>
      </c>
    </row>
  </sheetData>
  <sheetProtection algorithmName="SHA-512" hashValue="3Bno8PCtZrdZoW86Wpjg3sdCbokibWkajkztAiPwV2t/JBck9+rprSPmfCprSOJ3vWYAoT22rPqIwuD6atXqzg==" saltValue="Ssz1wYpixaE9TeJO0Bdvrw==" spinCount="100000" sheet="1" objects="1" scenarios="1"/>
  <mergeCells count="4">
    <mergeCell ref="A22:B22"/>
    <mergeCell ref="F6:I6"/>
    <mergeCell ref="A17:B17"/>
    <mergeCell ref="F15:I15"/>
  </mergeCells>
  <hyperlinks>
    <hyperlink ref="I17" r:id="rId1" xr:uid="{458F1BB8-BD55-4AF4-BDA1-1E63DCB0300C}"/>
  </hyperlinks>
  <pageMargins left="0.7" right="0.7" top="0.75" bottom="0.75" header="0.3" footer="0.3"/>
  <pageSetup orientation="portrait" verticalDpi="0"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5731A6-9F32-4073-BDF4-8643AFAB59F7}">
  <sheetPr codeName="Sheet25"/>
  <dimension ref="A1:R19"/>
  <sheetViews>
    <sheetView workbookViewId="0">
      <pane xSplit="1" ySplit="4" topLeftCell="C5" activePane="bottomRight" state="frozen"/>
      <selection pane="topRight" activeCell="B1" sqref="B1"/>
      <selection pane="bottomLeft" activeCell="A4" sqref="A4"/>
      <selection pane="bottomRight" activeCell="H6" sqref="H6"/>
    </sheetView>
  </sheetViews>
  <sheetFormatPr defaultRowHeight="15" x14ac:dyDescent="0.25"/>
  <cols>
    <col min="3" max="3" width="16" bestFit="1" customWidth="1"/>
    <col min="4" max="5" width="20.5703125" customWidth="1"/>
    <col min="6" max="6" width="26.28515625" customWidth="1"/>
    <col min="7" max="7" width="23.7109375" customWidth="1"/>
    <col min="8" max="11" width="20.5703125" customWidth="1"/>
    <col min="12" max="12" width="18.140625" style="11" customWidth="1"/>
    <col min="14" max="14" width="19.5703125" customWidth="1"/>
    <col min="16" max="16" width="11.85546875" customWidth="1"/>
    <col min="18" max="18" width="12" bestFit="1" customWidth="1"/>
  </cols>
  <sheetData>
    <row r="1" spans="1:18" x14ac:dyDescent="0.25">
      <c r="A1" t="s">
        <v>846</v>
      </c>
    </row>
    <row r="3" spans="1:18" ht="15.75" thickBot="1" x14ac:dyDescent="0.3">
      <c r="G3" t="s">
        <v>847</v>
      </c>
      <c r="J3" t="s">
        <v>848</v>
      </c>
      <c r="L3" s="11" t="s">
        <v>849</v>
      </c>
    </row>
    <row r="4" spans="1:18" ht="45" x14ac:dyDescent="0.25">
      <c r="A4" s="27"/>
      <c r="B4" s="23" t="s">
        <v>850</v>
      </c>
      <c r="C4" s="23" t="s">
        <v>851</v>
      </c>
      <c r="D4" s="24" t="s">
        <v>852</v>
      </c>
      <c r="E4" s="25" t="s">
        <v>853</v>
      </c>
      <c r="F4" s="25" t="s">
        <v>854</v>
      </c>
      <c r="G4" s="25" t="s">
        <v>855</v>
      </c>
      <c r="H4" s="25" t="s">
        <v>856</v>
      </c>
      <c r="I4" s="25" t="s">
        <v>857</v>
      </c>
      <c r="J4" s="25" t="s">
        <v>858</v>
      </c>
      <c r="K4" s="26" t="s">
        <v>859</v>
      </c>
      <c r="L4" s="12" t="s">
        <v>860</v>
      </c>
    </row>
    <row r="5" spans="1:18" ht="75" x14ac:dyDescent="0.25">
      <c r="B5" s="75">
        <v>1</v>
      </c>
      <c r="C5" s="22" t="s">
        <v>861</v>
      </c>
      <c r="D5" s="75" t="s">
        <v>862</v>
      </c>
      <c r="E5" s="22" t="s">
        <v>863</v>
      </c>
      <c r="F5" s="22" t="s">
        <v>864</v>
      </c>
      <c r="G5" s="28" t="e">
        <f>#REF!*'Inhalation Table_Service Life'!$R$5*'Inhalation Table_Service Life'!$P$5</f>
        <v>#REF!</v>
      </c>
      <c r="H5" s="75">
        <v>1</v>
      </c>
      <c r="I5" s="75" t="s">
        <v>865</v>
      </c>
      <c r="J5" s="75" t="s">
        <v>866</v>
      </c>
      <c r="K5" s="81" t="s">
        <v>867</v>
      </c>
      <c r="L5" s="11" t="e">
        <f>#REF!</f>
        <v>#REF!</v>
      </c>
      <c r="N5" s="16" t="s">
        <v>868</v>
      </c>
      <c r="O5" s="13" t="s">
        <v>869</v>
      </c>
      <c r="P5" s="14">
        <v>642</v>
      </c>
      <c r="Q5" s="13" t="s">
        <v>870</v>
      </c>
      <c r="R5" s="15">
        <f>0.000000001</f>
        <v>1.0000000000000001E-9</v>
      </c>
    </row>
    <row r="6" spans="1:18" ht="75" x14ac:dyDescent="0.25">
      <c r="B6" s="75">
        <v>2</v>
      </c>
      <c r="C6" s="22" t="s">
        <v>861</v>
      </c>
      <c r="D6" s="75" t="s">
        <v>862</v>
      </c>
      <c r="E6" s="22" t="s">
        <v>863</v>
      </c>
      <c r="F6" s="75" t="s">
        <v>871</v>
      </c>
      <c r="G6" s="28" t="e">
        <f>#REF!*'Inhalation Table_Service Life'!$R$5*'Inhalation Table_Service Life'!$P$5</f>
        <v>#REF!</v>
      </c>
      <c r="H6" s="75">
        <v>1</v>
      </c>
      <c r="I6" s="75" t="s">
        <v>865</v>
      </c>
      <c r="J6" s="75" t="s">
        <v>866</v>
      </c>
      <c r="K6" s="81" t="s">
        <v>867</v>
      </c>
      <c r="L6" s="11" t="e">
        <f>#REF!</f>
        <v>#REF!</v>
      </c>
    </row>
    <row r="7" spans="1:18" ht="75" x14ac:dyDescent="0.25">
      <c r="B7" s="75">
        <v>3</v>
      </c>
      <c r="C7" s="22" t="s">
        <v>861</v>
      </c>
      <c r="D7" s="75" t="s">
        <v>862</v>
      </c>
      <c r="E7" s="22" t="s">
        <v>863</v>
      </c>
      <c r="F7" s="75" t="s">
        <v>872</v>
      </c>
      <c r="G7" s="28" t="e">
        <f>#REF!*'Inhalation Table_Service Life'!$R$5*'Inhalation Table_Service Life'!$P$5</f>
        <v>#REF!</v>
      </c>
      <c r="H7" s="75">
        <v>1</v>
      </c>
      <c r="I7" s="75" t="s">
        <v>865</v>
      </c>
      <c r="J7" s="75" t="s">
        <v>866</v>
      </c>
      <c r="K7" s="81" t="s">
        <v>867</v>
      </c>
      <c r="L7" s="11" t="e">
        <f>#REF!</f>
        <v>#REF!</v>
      </c>
      <c r="N7" t="s">
        <v>873</v>
      </c>
      <c r="O7" s="4" t="e">
        <f>MEDIAN(G5,G6,G7,G9,G10,G11,G12,G13,G14,G15,G16,G17,G18,G19)</f>
        <v>#REF!</v>
      </c>
    </row>
    <row r="8" spans="1:18" ht="75" x14ac:dyDescent="0.25">
      <c r="B8" s="75">
        <v>4</v>
      </c>
      <c r="C8" s="22" t="s">
        <v>861</v>
      </c>
      <c r="D8" s="75" t="s">
        <v>862</v>
      </c>
      <c r="E8" s="22" t="s">
        <v>863</v>
      </c>
      <c r="F8" s="75" t="s">
        <v>864</v>
      </c>
      <c r="G8" s="28" t="s">
        <v>874</v>
      </c>
      <c r="H8" s="75">
        <v>1</v>
      </c>
      <c r="I8" s="75" t="s">
        <v>865</v>
      </c>
      <c r="J8" s="75" t="s">
        <v>866</v>
      </c>
      <c r="K8" s="81" t="s">
        <v>867</v>
      </c>
      <c r="L8" s="11" t="e">
        <f>#REF!</f>
        <v>#REF!</v>
      </c>
      <c r="N8" t="s">
        <v>875</v>
      </c>
      <c r="O8" t="e">
        <f>_xlfn.PERCENTILE.INC(G5:G19,0.95)</f>
        <v>#REF!</v>
      </c>
    </row>
    <row r="9" spans="1:18" ht="75" x14ac:dyDescent="0.25">
      <c r="B9" s="75">
        <v>5</v>
      </c>
      <c r="C9" s="22" t="s">
        <v>861</v>
      </c>
      <c r="D9" s="75" t="s">
        <v>862</v>
      </c>
      <c r="E9" s="22" t="s">
        <v>863</v>
      </c>
      <c r="F9" s="75" t="s">
        <v>876</v>
      </c>
      <c r="G9" s="28" t="e">
        <f>#REF!*'Inhalation Table_Service Life'!$R$5*'Inhalation Table_Service Life'!$P$5</f>
        <v>#REF!</v>
      </c>
      <c r="H9" s="75">
        <v>1</v>
      </c>
      <c r="I9" s="75" t="s">
        <v>865</v>
      </c>
      <c r="J9" s="75" t="s">
        <v>866</v>
      </c>
      <c r="K9" s="81" t="s">
        <v>867</v>
      </c>
      <c r="L9" s="11" t="e">
        <f>#REF!</f>
        <v>#REF!</v>
      </c>
    </row>
    <row r="10" spans="1:18" ht="75" x14ac:dyDescent="0.25">
      <c r="B10" s="75">
        <v>6</v>
      </c>
      <c r="C10" s="22" t="s">
        <v>861</v>
      </c>
      <c r="D10" s="75" t="s">
        <v>862</v>
      </c>
      <c r="E10" s="22" t="s">
        <v>863</v>
      </c>
      <c r="F10" s="75" t="s">
        <v>877</v>
      </c>
      <c r="G10" s="28" t="e">
        <f>#REF!*'Inhalation Table_Service Life'!$R$5*'Inhalation Table_Service Life'!$P$5</f>
        <v>#REF!</v>
      </c>
      <c r="H10" s="75">
        <v>1</v>
      </c>
      <c r="I10" s="75" t="s">
        <v>865</v>
      </c>
      <c r="J10" s="75" t="s">
        <v>866</v>
      </c>
      <c r="K10" s="81" t="s">
        <v>867</v>
      </c>
      <c r="L10" s="11" t="e">
        <f>#REF!</f>
        <v>#REF!</v>
      </c>
    </row>
    <row r="11" spans="1:18" ht="75" x14ac:dyDescent="0.25">
      <c r="B11" s="75">
        <v>7</v>
      </c>
      <c r="C11" s="22" t="s">
        <v>861</v>
      </c>
      <c r="D11" s="75" t="s">
        <v>862</v>
      </c>
      <c r="E11" s="22" t="s">
        <v>878</v>
      </c>
      <c r="F11" s="75" t="s">
        <v>879</v>
      </c>
      <c r="G11" s="28" t="e">
        <f>#REF!*'Inhalation Table_Service Life'!$R$5*'Inhalation Table_Service Life'!$P$5</f>
        <v>#REF!</v>
      </c>
      <c r="H11" s="75">
        <v>1</v>
      </c>
      <c r="I11" s="75" t="s">
        <v>865</v>
      </c>
      <c r="J11" s="75" t="s">
        <v>866</v>
      </c>
      <c r="K11" s="81" t="s">
        <v>867</v>
      </c>
      <c r="L11" s="11" t="e">
        <f>#REF!</f>
        <v>#REF!</v>
      </c>
    </row>
    <row r="12" spans="1:18" ht="75" x14ac:dyDescent="0.25">
      <c r="B12" s="75">
        <v>8</v>
      </c>
      <c r="C12" s="22" t="s">
        <v>861</v>
      </c>
      <c r="D12" s="75" t="s">
        <v>862</v>
      </c>
      <c r="E12" s="22" t="s">
        <v>878</v>
      </c>
      <c r="F12" s="75" t="s">
        <v>880</v>
      </c>
      <c r="G12" s="28" t="e">
        <f>#REF!*'Inhalation Table_Service Life'!$R$5*'Inhalation Table_Service Life'!$P$5</f>
        <v>#REF!</v>
      </c>
      <c r="H12" s="75">
        <v>1</v>
      </c>
      <c r="I12" s="75" t="s">
        <v>865</v>
      </c>
      <c r="J12" s="75" t="s">
        <v>866</v>
      </c>
      <c r="K12" s="81" t="s">
        <v>867</v>
      </c>
      <c r="L12" s="11" t="e">
        <f>#REF!</f>
        <v>#REF!</v>
      </c>
    </row>
    <row r="13" spans="1:18" ht="75" x14ac:dyDescent="0.25">
      <c r="B13" s="75">
        <v>9</v>
      </c>
      <c r="C13" s="22" t="s">
        <v>861</v>
      </c>
      <c r="D13" s="75" t="s">
        <v>862</v>
      </c>
      <c r="E13" s="22" t="s">
        <v>878</v>
      </c>
      <c r="F13" s="75" t="s">
        <v>881</v>
      </c>
      <c r="G13" s="28" t="e">
        <f>#REF!*'Inhalation Table_Service Life'!$R$5*'Inhalation Table_Service Life'!$P$5</f>
        <v>#REF!</v>
      </c>
      <c r="H13" s="75">
        <v>1</v>
      </c>
      <c r="I13" s="75" t="s">
        <v>865</v>
      </c>
      <c r="J13" s="75" t="s">
        <v>866</v>
      </c>
      <c r="K13" s="81" t="s">
        <v>867</v>
      </c>
      <c r="L13" s="11" t="e">
        <f>#REF!</f>
        <v>#REF!</v>
      </c>
    </row>
    <row r="14" spans="1:18" ht="75" x14ac:dyDescent="0.25">
      <c r="B14" s="75">
        <v>10</v>
      </c>
      <c r="C14" s="22" t="s">
        <v>861</v>
      </c>
      <c r="D14" s="75" t="s">
        <v>862</v>
      </c>
      <c r="E14" s="22" t="s">
        <v>878</v>
      </c>
      <c r="F14" s="75" t="s">
        <v>880</v>
      </c>
      <c r="G14" s="28" t="e">
        <f>#REF!*'Inhalation Table_Service Life'!$R$5*'Inhalation Table_Service Life'!$P$5</f>
        <v>#REF!</v>
      </c>
      <c r="H14" s="75">
        <v>1</v>
      </c>
      <c r="I14" s="75" t="s">
        <v>865</v>
      </c>
      <c r="J14" s="75" t="s">
        <v>866</v>
      </c>
      <c r="K14" s="81" t="s">
        <v>867</v>
      </c>
      <c r="L14" s="11" t="e">
        <f>#REF!</f>
        <v>#REF!</v>
      </c>
    </row>
    <row r="15" spans="1:18" ht="75" x14ac:dyDescent="0.25">
      <c r="B15" s="75">
        <v>11</v>
      </c>
      <c r="C15" s="22" t="s">
        <v>861</v>
      </c>
      <c r="D15" s="75" t="s">
        <v>862</v>
      </c>
      <c r="E15" s="22" t="s">
        <v>878</v>
      </c>
      <c r="F15" s="75" t="s">
        <v>881</v>
      </c>
      <c r="G15" s="28" t="e">
        <f>#REF!*'Inhalation Table_Service Life'!$R$5*'Inhalation Table_Service Life'!$P$5</f>
        <v>#REF!</v>
      </c>
      <c r="H15" s="75">
        <v>1</v>
      </c>
      <c r="I15" s="75" t="s">
        <v>865</v>
      </c>
      <c r="J15" s="75" t="s">
        <v>866</v>
      </c>
      <c r="K15" s="81" t="s">
        <v>867</v>
      </c>
      <c r="L15" s="11" t="e">
        <f>#REF!</f>
        <v>#REF!</v>
      </c>
    </row>
    <row r="16" spans="1:18" ht="75" x14ac:dyDescent="0.25">
      <c r="B16" s="75">
        <v>12</v>
      </c>
      <c r="C16" s="22" t="s">
        <v>861</v>
      </c>
      <c r="D16" s="75" t="s">
        <v>862</v>
      </c>
      <c r="E16" s="22" t="s">
        <v>878</v>
      </c>
      <c r="F16" s="75" t="s">
        <v>882</v>
      </c>
      <c r="G16" s="28" t="e">
        <f>#REF!*'Inhalation Table_Service Life'!$R$5*'Inhalation Table_Service Life'!$P$5</f>
        <v>#REF!</v>
      </c>
      <c r="H16" s="75">
        <v>1</v>
      </c>
      <c r="I16" s="75" t="s">
        <v>865</v>
      </c>
      <c r="J16" s="75" t="s">
        <v>866</v>
      </c>
      <c r="K16" s="81" t="s">
        <v>867</v>
      </c>
      <c r="L16" s="11" t="e">
        <f>#REF!</f>
        <v>#REF!</v>
      </c>
    </row>
    <row r="17" spans="2:12" ht="75" x14ac:dyDescent="0.25">
      <c r="B17" s="75">
        <v>13</v>
      </c>
      <c r="C17" s="22" t="s">
        <v>861</v>
      </c>
      <c r="D17" s="75" t="s">
        <v>862</v>
      </c>
      <c r="E17" s="22" t="s">
        <v>878</v>
      </c>
      <c r="F17" s="75" t="s">
        <v>883</v>
      </c>
      <c r="G17" s="28" t="e">
        <f>#REF!*'Inhalation Table_Service Life'!$R$5*'Inhalation Table_Service Life'!$P$5</f>
        <v>#REF!</v>
      </c>
      <c r="H17" s="75">
        <v>1</v>
      </c>
      <c r="I17" s="75" t="s">
        <v>865</v>
      </c>
      <c r="J17" s="75" t="s">
        <v>866</v>
      </c>
      <c r="K17" s="81" t="s">
        <v>867</v>
      </c>
      <c r="L17" s="11" t="e">
        <f>#REF!</f>
        <v>#REF!</v>
      </c>
    </row>
    <row r="18" spans="2:12" ht="75" x14ac:dyDescent="0.25">
      <c r="B18" s="75">
        <v>14</v>
      </c>
      <c r="C18" s="22" t="s">
        <v>861</v>
      </c>
      <c r="D18" s="75" t="s">
        <v>862</v>
      </c>
      <c r="E18" s="22" t="s">
        <v>878</v>
      </c>
      <c r="F18" s="75" t="s">
        <v>881</v>
      </c>
      <c r="G18" s="28" t="e">
        <f>#REF!*'Inhalation Table_Service Life'!$R$5*'Inhalation Table_Service Life'!$P$5</f>
        <v>#REF!</v>
      </c>
      <c r="H18" s="75">
        <v>1</v>
      </c>
      <c r="I18" s="75" t="s">
        <v>865</v>
      </c>
      <c r="J18" s="75" t="s">
        <v>866</v>
      </c>
      <c r="K18" s="81" t="s">
        <v>867</v>
      </c>
      <c r="L18" s="11" t="e">
        <f>#REF!</f>
        <v>#REF!</v>
      </c>
    </row>
    <row r="19" spans="2:12" ht="75" x14ac:dyDescent="0.25">
      <c r="B19" s="75">
        <v>15</v>
      </c>
      <c r="C19" s="22" t="s">
        <v>861</v>
      </c>
      <c r="D19" s="75" t="s">
        <v>862</v>
      </c>
      <c r="E19" s="22" t="s">
        <v>878</v>
      </c>
      <c r="F19" s="75" t="s">
        <v>880</v>
      </c>
      <c r="G19" s="28" t="e">
        <f>#REF!*'Inhalation Table_Service Life'!$R$5*'Inhalation Table_Service Life'!$P$5</f>
        <v>#REF!</v>
      </c>
      <c r="H19" s="75">
        <v>1</v>
      </c>
      <c r="I19" s="75" t="s">
        <v>865</v>
      </c>
      <c r="J19" s="75" t="s">
        <v>866</v>
      </c>
      <c r="K19" s="81" t="s">
        <v>867</v>
      </c>
      <c r="L19" s="11" t="e">
        <f>#REF!</f>
        <v>#REF!</v>
      </c>
    </row>
  </sheetData>
  <pageMargins left="0.7" right="0.7" top="0.75" bottom="0.75" header="0.3" footer="0.3"/>
  <pageSetup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12D2AF-5F6D-4087-B745-B7C0D126602F}">
  <sheetPr codeName="Sheet26">
    <tabColor rgb="FFFF0000"/>
  </sheetPr>
  <dimension ref="A1:E10"/>
  <sheetViews>
    <sheetView workbookViewId="0">
      <selection activeCell="E10" sqref="E10"/>
    </sheetView>
  </sheetViews>
  <sheetFormatPr defaultRowHeight="15" x14ac:dyDescent="0.25"/>
  <cols>
    <col min="1" max="1" width="31.42578125" customWidth="1"/>
    <col min="2" max="2" width="11.140625" bestFit="1" customWidth="1"/>
    <col min="3" max="3" width="25.140625" customWidth="1"/>
    <col min="4" max="4" width="46.7109375" customWidth="1"/>
    <col min="5" max="5" width="78" bestFit="1" customWidth="1"/>
  </cols>
  <sheetData>
    <row r="1" spans="1:5" x14ac:dyDescent="0.25">
      <c r="A1" t="s">
        <v>884</v>
      </c>
    </row>
    <row r="3" spans="1:5" x14ac:dyDescent="0.25">
      <c r="A3" s="7" t="s">
        <v>705</v>
      </c>
      <c r="B3" s="7" t="s">
        <v>579</v>
      </c>
      <c r="C3" s="7" t="s">
        <v>578</v>
      </c>
      <c r="D3" s="7" t="s">
        <v>292</v>
      </c>
    </row>
    <row r="4" spans="1:5" s="5" customFormat="1" ht="30" x14ac:dyDescent="0.25">
      <c r="A4" s="5" t="s">
        <v>885</v>
      </c>
      <c r="B4" s="5">
        <v>2.5000000000000001E-2</v>
      </c>
      <c r="C4" s="5" t="s">
        <v>729</v>
      </c>
      <c r="D4" s="5" t="s">
        <v>886</v>
      </c>
    </row>
    <row r="5" spans="1:5" x14ac:dyDescent="0.25">
      <c r="A5" t="s">
        <v>887</v>
      </c>
      <c r="B5">
        <v>0.59</v>
      </c>
      <c r="C5" t="s">
        <v>888</v>
      </c>
      <c r="D5" t="s">
        <v>889</v>
      </c>
    </row>
    <row r="8" spans="1:5" x14ac:dyDescent="0.25">
      <c r="A8" s="7" t="s">
        <v>890</v>
      </c>
      <c r="B8" s="7" t="s">
        <v>230</v>
      </c>
      <c r="C8" s="7" t="s">
        <v>231</v>
      </c>
      <c r="D8" s="7" t="s">
        <v>578</v>
      </c>
      <c r="E8" s="7" t="s">
        <v>292</v>
      </c>
    </row>
    <row r="9" spans="1:5" x14ac:dyDescent="0.25">
      <c r="A9" t="s">
        <v>891</v>
      </c>
      <c r="B9">
        <v>1</v>
      </c>
      <c r="C9">
        <v>32</v>
      </c>
      <c r="D9" t="s">
        <v>892</v>
      </c>
      <c r="E9" t="s">
        <v>893</v>
      </c>
    </row>
    <row r="10" spans="1:5" x14ac:dyDescent="0.25">
      <c r="A10" t="s">
        <v>894</v>
      </c>
      <c r="B10" s="38">
        <f>B9*B4/B5</f>
        <v>4.2372881355932208E-2</v>
      </c>
      <c r="C10" s="46">
        <f>C9*B4/B5</f>
        <v>1.3559322033898307</v>
      </c>
      <c r="D10" t="s">
        <v>892</v>
      </c>
      <c r="E10" t="s">
        <v>895</v>
      </c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D9DC26-B819-4A9E-AAF5-EE2C2E8273D1}">
  <dimension ref="A1:B17"/>
  <sheetViews>
    <sheetView workbookViewId="0">
      <pane ySplit="4" topLeftCell="A10" activePane="bottomLeft" state="frozen"/>
      <selection activeCell="B4" sqref="B4"/>
      <selection pane="bottomLeft" sqref="A1:XFD1048576"/>
    </sheetView>
  </sheetViews>
  <sheetFormatPr defaultRowHeight="15" x14ac:dyDescent="0.25"/>
  <cols>
    <col min="1" max="1" width="9.140625" style="125"/>
    <col min="2" max="2" width="53.42578125" style="125" customWidth="1"/>
    <col min="3" max="16384" width="9.140625" style="125"/>
  </cols>
  <sheetData>
    <row r="1" spans="1:2" x14ac:dyDescent="0.25">
      <c r="A1" s="125" t="s">
        <v>26</v>
      </c>
    </row>
    <row r="3" spans="1:2" ht="15" customHeight="1" x14ac:dyDescent="0.25">
      <c r="A3" s="132" t="s">
        <v>27</v>
      </c>
      <c r="B3" s="133"/>
    </row>
    <row r="4" spans="1:2" x14ac:dyDescent="0.25">
      <c r="A4" s="134" t="s">
        <v>28</v>
      </c>
      <c r="B4" s="134" t="s">
        <v>29</v>
      </c>
    </row>
    <row r="5" spans="1:2" x14ac:dyDescent="0.25">
      <c r="A5" s="135">
        <v>1</v>
      </c>
      <c r="B5" s="135" t="s">
        <v>30</v>
      </c>
    </row>
    <row r="6" spans="1:2" ht="30" x14ac:dyDescent="0.25">
      <c r="A6" s="135">
        <v>2</v>
      </c>
      <c r="B6" s="135" t="s">
        <v>31</v>
      </c>
    </row>
    <row r="7" spans="1:2" ht="30" x14ac:dyDescent="0.25">
      <c r="A7" s="135">
        <v>3</v>
      </c>
      <c r="B7" s="135" t="s">
        <v>32</v>
      </c>
    </row>
    <row r="8" spans="1:2" ht="30" x14ac:dyDescent="0.25">
      <c r="A8" s="135">
        <v>4</v>
      </c>
      <c r="B8" s="135" t="s">
        <v>33</v>
      </c>
    </row>
    <row r="9" spans="1:2" ht="30" x14ac:dyDescent="0.25">
      <c r="A9" s="135">
        <v>5</v>
      </c>
      <c r="B9" s="135" t="s">
        <v>34</v>
      </c>
    </row>
    <row r="10" spans="1:2" ht="30" x14ac:dyDescent="0.25">
      <c r="A10" s="135">
        <v>6</v>
      </c>
      <c r="B10" s="135" t="s">
        <v>35</v>
      </c>
    </row>
    <row r="11" spans="1:2" x14ac:dyDescent="0.25">
      <c r="A11" s="135">
        <v>7</v>
      </c>
      <c r="B11" s="135" t="s">
        <v>36</v>
      </c>
    </row>
    <row r="12" spans="1:2" ht="30" x14ac:dyDescent="0.25">
      <c r="A12" s="135">
        <v>8</v>
      </c>
      <c r="B12" s="135" t="s">
        <v>37</v>
      </c>
    </row>
    <row r="13" spans="1:2" ht="45" x14ac:dyDescent="0.25">
      <c r="A13" s="135">
        <v>9</v>
      </c>
      <c r="B13" s="135" t="s">
        <v>38</v>
      </c>
    </row>
    <row r="14" spans="1:2" ht="30" x14ac:dyDescent="0.25">
      <c r="A14" s="135">
        <v>10</v>
      </c>
      <c r="B14" s="135" t="s">
        <v>39</v>
      </c>
    </row>
    <row r="15" spans="1:2" x14ac:dyDescent="0.25">
      <c r="A15" s="135">
        <v>11</v>
      </c>
      <c r="B15" s="135" t="s">
        <v>40</v>
      </c>
    </row>
    <row r="16" spans="1:2" x14ac:dyDescent="0.25">
      <c r="A16" s="135">
        <v>12</v>
      </c>
      <c r="B16" s="135" t="s">
        <v>41</v>
      </c>
    </row>
    <row r="17" spans="1:2" x14ac:dyDescent="0.25">
      <c r="A17" s="135">
        <v>13</v>
      </c>
      <c r="B17" s="135" t="s">
        <v>42</v>
      </c>
    </row>
  </sheetData>
  <sheetProtection algorithmName="SHA-512" hashValue="PZjZdevhfUVUKEJP0lsp87HVgXY7jOAqndP0BlX7YEqD3LLyw3ed1fjZsDYzOiWGY4y4cnuyJnWplhTe9a6FAA==" saltValue="iE/xBVEVIQt8UvZcJTb80A==" spinCount="100000" sheet="1" objects="1" scenarios="1"/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445445-D946-41CB-AE02-3AE7B854407C}">
  <sheetPr codeName="Sheet4"/>
  <dimension ref="A1:AQ57"/>
  <sheetViews>
    <sheetView zoomScale="60" zoomScaleNormal="60" workbookViewId="0">
      <pane xSplit="2" ySplit="6" topLeftCell="C7" activePane="bottomRight" state="frozen"/>
      <selection pane="topRight" activeCell="B4" sqref="B4"/>
      <selection pane="bottomLeft" activeCell="B4" sqref="B4"/>
      <selection pane="bottomRight" sqref="A1:XFD1048576"/>
    </sheetView>
  </sheetViews>
  <sheetFormatPr defaultRowHeight="15" x14ac:dyDescent="0.25"/>
  <cols>
    <col min="1" max="1" width="9.140625" style="125"/>
    <col min="2" max="2" width="35.42578125" style="137" customWidth="1"/>
    <col min="3" max="4" width="36.28515625" style="125" customWidth="1"/>
    <col min="5" max="5" width="30.28515625" style="125" customWidth="1"/>
    <col min="6" max="6" width="14.140625" style="138" customWidth="1"/>
    <col min="7" max="7" width="16.140625" style="125" bestFit="1" customWidth="1"/>
    <col min="8" max="8" width="19.7109375" style="125" customWidth="1"/>
    <col min="9" max="9" width="20.5703125" style="139" customWidth="1"/>
    <col min="10" max="10" width="16.5703125" style="139" customWidth="1"/>
    <col min="11" max="15" width="16.5703125" style="125" customWidth="1"/>
    <col min="16" max="16" width="27.42578125" style="140" customWidth="1"/>
    <col min="17" max="17" width="27.42578125" style="125" customWidth="1"/>
    <col min="18" max="19" width="14.42578125" style="125" customWidth="1"/>
    <col min="20" max="20" width="20.7109375" style="125" customWidth="1"/>
    <col min="21" max="21" width="16.7109375" style="125" bestFit="1" customWidth="1"/>
    <col min="22" max="24" width="32.42578125" style="125" customWidth="1"/>
    <col min="25" max="25" width="25.28515625" style="140" customWidth="1"/>
    <col min="26" max="26" width="25.28515625" style="125" customWidth="1"/>
    <col min="27" max="27" width="11.140625" style="125" bestFit="1" customWidth="1"/>
    <col min="28" max="28" width="13.7109375" style="125" bestFit="1" customWidth="1"/>
    <col min="29" max="29" width="14.5703125" style="125" customWidth="1"/>
    <col min="30" max="30" width="16.7109375" style="125" bestFit="1" customWidth="1"/>
    <col min="31" max="33" width="31.5703125" style="125" customWidth="1"/>
    <col min="34" max="34" width="16" style="140" customWidth="1"/>
    <col min="35" max="35" width="16" style="125" customWidth="1"/>
    <col min="36" max="37" width="14.140625" style="125" customWidth="1"/>
    <col min="38" max="38" width="17" style="125" customWidth="1"/>
    <col min="39" max="39" width="16.7109375" style="125" bestFit="1" customWidth="1"/>
    <col min="40" max="42" width="30.7109375" style="125" customWidth="1"/>
    <col min="43" max="43" width="9.140625" style="140"/>
    <col min="44" max="16384" width="9.140625" style="125"/>
  </cols>
  <sheetData>
    <row r="1" spans="1:43" x14ac:dyDescent="0.25">
      <c r="A1" s="136" t="s">
        <v>43</v>
      </c>
      <c r="Y1" s="125"/>
    </row>
    <row r="2" spans="1:43" ht="15.75" thickBot="1" x14ac:dyDescent="0.3">
      <c r="A2" s="141"/>
      <c r="P2" s="142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</row>
    <row r="3" spans="1:43" ht="15.75" thickBot="1" x14ac:dyDescent="0.3">
      <c r="B3" s="144" t="s">
        <v>44</v>
      </c>
      <c r="C3" s="145" t="s">
        <v>45</v>
      </c>
      <c r="D3" s="146" t="s">
        <v>46</v>
      </c>
      <c r="E3" s="129"/>
      <c r="G3" s="147"/>
      <c r="P3" s="148"/>
      <c r="Q3" s="149"/>
      <c r="R3" s="150"/>
      <c r="S3" s="150"/>
      <c r="Y3" s="149"/>
      <c r="Z3" s="149"/>
      <c r="AA3" s="150"/>
      <c r="AB3" s="150"/>
      <c r="AH3" s="149"/>
      <c r="AI3" s="149"/>
      <c r="AJ3" s="150"/>
      <c r="AK3" s="150"/>
    </row>
    <row r="4" spans="1:43" ht="15.75" thickBot="1" x14ac:dyDescent="0.3">
      <c r="B4" s="151"/>
      <c r="C4" s="152">
        <v>100000</v>
      </c>
      <c r="D4" s="153">
        <f>CONVERT(C4,"lbm","g")/1000</f>
        <v>45359.237000000001</v>
      </c>
      <c r="P4" s="154" t="s">
        <v>47</v>
      </c>
      <c r="Q4" s="155"/>
      <c r="R4" s="155"/>
      <c r="S4" s="155"/>
      <c r="T4" s="155"/>
      <c r="U4" s="155"/>
      <c r="V4" s="155"/>
      <c r="W4" s="155"/>
      <c r="X4" s="156"/>
      <c r="Y4" s="154" t="s">
        <v>48</v>
      </c>
      <c r="Z4" s="155"/>
      <c r="AA4" s="155"/>
      <c r="AB4" s="155"/>
      <c r="AC4" s="155"/>
      <c r="AD4" s="155"/>
      <c r="AE4" s="155"/>
      <c r="AF4" s="155"/>
      <c r="AG4" s="156"/>
      <c r="AH4" s="154" t="s">
        <v>49</v>
      </c>
      <c r="AI4" s="155"/>
      <c r="AJ4" s="155"/>
      <c r="AK4" s="155"/>
      <c r="AL4" s="155"/>
      <c r="AM4" s="155"/>
      <c r="AN4" s="155"/>
      <c r="AO4" s="155"/>
      <c r="AP4" s="156"/>
      <c r="AQ4" s="157"/>
    </row>
    <row r="5" spans="1:43" ht="15" customHeight="1" x14ac:dyDescent="0.25">
      <c r="A5" s="158" t="s">
        <v>27</v>
      </c>
      <c r="B5" s="159"/>
      <c r="C5" s="160" t="s">
        <v>50</v>
      </c>
      <c r="D5" s="161" t="s">
        <v>51</v>
      </c>
      <c r="E5" s="162" t="s">
        <v>52</v>
      </c>
      <c r="F5" s="162"/>
      <c r="G5" s="162"/>
      <c r="H5" s="163"/>
      <c r="I5" s="164" t="s">
        <v>53</v>
      </c>
      <c r="J5" s="165"/>
      <c r="K5" s="165"/>
      <c r="L5" s="165"/>
      <c r="M5" s="165"/>
      <c r="N5" s="165"/>
      <c r="O5" s="166"/>
      <c r="P5" s="167" t="s">
        <v>54</v>
      </c>
      <c r="Q5" s="168"/>
      <c r="R5" s="168"/>
      <c r="S5" s="168"/>
      <c r="T5" s="168"/>
      <c r="U5" s="168"/>
      <c r="V5" s="168"/>
      <c r="W5" s="168"/>
      <c r="X5" s="169"/>
      <c r="Y5" s="167" t="s">
        <v>55</v>
      </c>
      <c r="Z5" s="168"/>
      <c r="AA5" s="168"/>
      <c r="AB5" s="168"/>
      <c r="AC5" s="168"/>
      <c r="AD5" s="168"/>
      <c r="AE5" s="168"/>
      <c r="AF5" s="168"/>
      <c r="AG5" s="169"/>
      <c r="AH5" s="167" t="s">
        <v>56</v>
      </c>
      <c r="AI5" s="168"/>
      <c r="AJ5" s="168"/>
      <c r="AK5" s="168"/>
      <c r="AL5" s="168"/>
      <c r="AM5" s="168"/>
      <c r="AN5" s="168"/>
      <c r="AO5" s="168"/>
      <c r="AP5" s="169"/>
      <c r="AQ5" s="157"/>
    </row>
    <row r="6" spans="1:43" s="183" customFormat="1" ht="29.25" thickBot="1" x14ac:dyDescent="0.25">
      <c r="A6" s="170"/>
      <c r="B6" s="171"/>
      <c r="C6" s="172"/>
      <c r="D6" s="173"/>
      <c r="E6" s="174" t="s">
        <v>57</v>
      </c>
      <c r="F6" s="175" t="s">
        <v>58</v>
      </c>
      <c r="G6" s="176" t="s">
        <v>59</v>
      </c>
      <c r="H6" s="177" t="s">
        <v>60</v>
      </c>
      <c r="I6" s="178" t="s">
        <v>61</v>
      </c>
      <c r="J6" s="179" t="s">
        <v>62</v>
      </c>
      <c r="K6" s="176" t="s">
        <v>63</v>
      </c>
      <c r="L6" s="176" t="s">
        <v>64</v>
      </c>
      <c r="M6" s="180" t="s">
        <v>65</v>
      </c>
      <c r="N6" s="180" t="s">
        <v>65</v>
      </c>
      <c r="O6" s="181" t="s">
        <v>65</v>
      </c>
      <c r="P6" s="182" t="s">
        <v>66</v>
      </c>
      <c r="Q6" s="176" t="s">
        <v>67</v>
      </c>
      <c r="R6" s="176" t="s">
        <v>68</v>
      </c>
      <c r="S6" s="176" t="s">
        <v>69</v>
      </c>
      <c r="T6" s="176" t="s">
        <v>70</v>
      </c>
      <c r="U6" s="176" t="s">
        <v>71</v>
      </c>
      <c r="V6" s="176" t="s">
        <v>72</v>
      </c>
      <c r="W6" s="176" t="s">
        <v>72</v>
      </c>
      <c r="X6" s="177" t="s">
        <v>72</v>
      </c>
      <c r="Y6" s="182" t="s">
        <v>66</v>
      </c>
      <c r="Z6" s="176" t="s">
        <v>67</v>
      </c>
      <c r="AA6" s="176" t="s">
        <v>68</v>
      </c>
      <c r="AB6" s="176" t="s">
        <v>69</v>
      </c>
      <c r="AC6" s="176" t="s">
        <v>70</v>
      </c>
      <c r="AD6" s="176" t="s">
        <v>71</v>
      </c>
      <c r="AE6" s="176" t="s">
        <v>72</v>
      </c>
      <c r="AF6" s="176" t="s">
        <v>72</v>
      </c>
      <c r="AG6" s="177" t="s">
        <v>72</v>
      </c>
      <c r="AH6" s="182" t="s">
        <v>66</v>
      </c>
      <c r="AI6" s="176" t="s">
        <v>67</v>
      </c>
      <c r="AJ6" s="176" t="s">
        <v>68</v>
      </c>
      <c r="AK6" s="176" t="s">
        <v>69</v>
      </c>
      <c r="AL6" s="176" t="s">
        <v>70</v>
      </c>
      <c r="AM6" s="176" t="s">
        <v>71</v>
      </c>
      <c r="AN6" s="176" t="s">
        <v>72</v>
      </c>
      <c r="AO6" s="176" t="s">
        <v>72</v>
      </c>
      <c r="AP6" s="177" t="s">
        <v>72</v>
      </c>
    </row>
    <row r="7" spans="1:43" s="150" customFormat="1" ht="42.75" x14ac:dyDescent="0.2">
      <c r="A7" s="184">
        <v>1</v>
      </c>
      <c r="B7" s="185" t="s">
        <v>30</v>
      </c>
      <c r="C7" s="186" t="s">
        <v>50</v>
      </c>
      <c r="D7" s="187" t="s">
        <v>51</v>
      </c>
      <c r="E7" s="188" t="s">
        <v>57</v>
      </c>
      <c r="F7" s="189" t="s">
        <v>58</v>
      </c>
      <c r="G7" s="190" t="s">
        <v>59</v>
      </c>
      <c r="H7" s="191" t="s">
        <v>60</v>
      </c>
      <c r="I7" s="192" t="s">
        <v>61</v>
      </c>
      <c r="J7" s="193" t="s">
        <v>62</v>
      </c>
      <c r="K7" s="190" t="s">
        <v>63</v>
      </c>
      <c r="L7" s="190" t="s">
        <v>64</v>
      </c>
      <c r="M7" s="194" t="s">
        <v>73</v>
      </c>
      <c r="N7" s="195" t="s">
        <v>65</v>
      </c>
      <c r="O7" s="196" t="s">
        <v>65</v>
      </c>
      <c r="P7" s="197" t="s">
        <v>66</v>
      </c>
      <c r="Q7" s="190" t="s">
        <v>67</v>
      </c>
      <c r="R7" s="190" t="s">
        <v>68</v>
      </c>
      <c r="S7" s="190" t="s">
        <v>69</v>
      </c>
      <c r="T7" s="190" t="s">
        <v>70</v>
      </c>
      <c r="U7" s="190" t="s">
        <v>71</v>
      </c>
      <c r="V7" s="190" t="s">
        <v>74</v>
      </c>
      <c r="W7" s="190" t="s">
        <v>72</v>
      </c>
      <c r="X7" s="191" t="s">
        <v>72</v>
      </c>
      <c r="Y7" s="197" t="s">
        <v>66</v>
      </c>
      <c r="Z7" s="190" t="s">
        <v>67</v>
      </c>
      <c r="AA7" s="190" t="s">
        <v>68</v>
      </c>
      <c r="AB7" s="190" t="s">
        <v>69</v>
      </c>
      <c r="AC7" s="190" t="s">
        <v>70</v>
      </c>
      <c r="AD7" s="190" t="s">
        <v>71</v>
      </c>
      <c r="AE7" s="190" t="s">
        <v>74</v>
      </c>
      <c r="AF7" s="190" t="s">
        <v>72</v>
      </c>
      <c r="AG7" s="191" t="s">
        <v>72</v>
      </c>
      <c r="AH7" s="197" t="s">
        <v>66</v>
      </c>
      <c r="AI7" s="190" t="s">
        <v>67</v>
      </c>
      <c r="AJ7" s="190" t="s">
        <v>68</v>
      </c>
      <c r="AK7" s="190" t="s">
        <v>69</v>
      </c>
      <c r="AL7" s="190" t="s">
        <v>70</v>
      </c>
      <c r="AM7" s="190" t="s">
        <v>71</v>
      </c>
      <c r="AN7" s="190" t="s">
        <v>75</v>
      </c>
      <c r="AO7" s="190" t="s">
        <v>72</v>
      </c>
      <c r="AP7" s="191" t="s">
        <v>72</v>
      </c>
    </row>
    <row r="8" spans="1:43" ht="54" customHeight="1" x14ac:dyDescent="0.25">
      <c r="A8" s="198"/>
      <c r="B8" s="199"/>
      <c r="C8" s="200" t="s">
        <v>76</v>
      </c>
      <c r="D8" s="201" t="s">
        <v>14</v>
      </c>
      <c r="E8" s="202">
        <v>1</v>
      </c>
      <c r="F8" s="203">
        <f t="shared" ref="F8:F21" si="0">$D$4*E8</f>
        <v>45359.237000000001</v>
      </c>
      <c r="G8" s="202">
        <f>'Release Days and Sites'!K6</f>
        <v>1</v>
      </c>
      <c r="H8" s="204">
        <f>'Release Days and Sites'!D6</f>
        <v>300</v>
      </c>
      <c r="I8" s="205">
        <v>0</v>
      </c>
      <c r="J8" s="206">
        <v>0</v>
      </c>
      <c r="K8" s="207">
        <f>'Releases_Exp. Scen. 1'!H6</f>
        <v>0.01</v>
      </c>
      <c r="L8" s="206">
        <v>0</v>
      </c>
      <c r="M8" s="207">
        <f>'Releases_Exp. Scen. 1'!H5</f>
        <v>1E-3</v>
      </c>
      <c r="N8" s="207"/>
      <c r="O8" s="208"/>
      <c r="P8" s="209" t="s">
        <v>77</v>
      </c>
      <c r="Q8" s="210" t="s">
        <v>77</v>
      </c>
      <c r="R8" s="210" t="s">
        <v>77</v>
      </c>
      <c r="S8" s="210" t="s">
        <v>77</v>
      </c>
      <c r="T8" s="211">
        <f>$F8/$G8*K8/$H8</f>
        <v>1.5119745666666666</v>
      </c>
      <c r="U8" s="210" t="s">
        <v>77</v>
      </c>
      <c r="V8" s="212">
        <f>$F8/$G8*M8/$H8</f>
        <v>0.15119745666666667</v>
      </c>
      <c r="W8" s="210" t="s">
        <v>77</v>
      </c>
      <c r="X8" s="213" t="s">
        <v>77</v>
      </c>
      <c r="Y8" s="209" t="s">
        <v>77</v>
      </c>
      <c r="Z8" s="210" t="s">
        <v>77</v>
      </c>
      <c r="AA8" s="210" t="s">
        <v>77</v>
      </c>
      <c r="AB8" s="210" t="s">
        <v>77</v>
      </c>
      <c r="AC8" s="214">
        <f>T8*$H8</f>
        <v>453.59237000000002</v>
      </c>
      <c r="AD8" s="210" t="s">
        <v>77</v>
      </c>
      <c r="AE8" s="214">
        <f>V8*$H8</f>
        <v>45.359237</v>
      </c>
      <c r="AF8" s="210" t="s">
        <v>77</v>
      </c>
      <c r="AG8" s="213" t="s">
        <v>77</v>
      </c>
      <c r="AH8" s="209" t="s">
        <v>77</v>
      </c>
      <c r="AI8" s="210" t="s">
        <v>77</v>
      </c>
      <c r="AJ8" s="210" t="s">
        <v>77</v>
      </c>
      <c r="AK8" s="210" t="s">
        <v>77</v>
      </c>
      <c r="AL8" s="214">
        <f>AC8*$G8</f>
        <v>453.59237000000002</v>
      </c>
      <c r="AM8" s="210" t="s">
        <v>77</v>
      </c>
      <c r="AN8" s="214">
        <f>AE8*$G8</f>
        <v>45.359237</v>
      </c>
      <c r="AO8" s="210" t="s">
        <v>77</v>
      </c>
      <c r="AP8" s="213" t="s">
        <v>77</v>
      </c>
      <c r="AQ8" s="125"/>
    </row>
    <row r="9" spans="1:43" ht="54" customHeight="1" x14ac:dyDescent="0.25">
      <c r="A9" s="198"/>
      <c r="B9" s="199"/>
      <c r="C9" s="215"/>
      <c r="D9" s="216"/>
      <c r="E9" s="202">
        <v>1</v>
      </c>
      <c r="F9" s="203">
        <f t="shared" si="0"/>
        <v>45359.237000000001</v>
      </c>
      <c r="G9" s="202">
        <f>'Release Days and Sites'!J6</f>
        <v>1</v>
      </c>
      <c r="H9" s="204">
        <f>'Release Days and Sites'!C6</f>
        <v>29</v>
      </c>
      <c r="I9" s="205">
        <v>0</v>
      </c>
      <c r="J9" s="206">
        <v>0</v>
      </c>
      <c r="K9" s="207">
        <f>'Releases_Exp. Scen. 1'!H6</f>
        <v>0.01</v>
      </c>
      <c r="L9" s="206">
        <v>0</v>
      </c>
      <c r="M9" s="207">
        <f>'Releases_Exp. Scen. 1'!H5</f>
        <v>1E-3</v>
      </c>
      <c r="N9" s="207"/>
      <c r="O9" s="208"/>
      <c r="P9" s="209" t="s">
        <v>77</v>
      </c>
      <c r="Q9" s="210" t="s">
        <v>77</v>
      </c>
      <c r="R9" s="210" t="s">
        <v>77</v>
      </c>
      <c r="S9" s="210" t="s">
        <v>77</v>
      </c>
      <c r="T9" s="211">
        <f>$F9/$G9*K9/$H9</f>
        <v>15.641116206896552</v>
      </c>
      <c r="U9" s="210" t="s">
        <v>77</v>
      </c>
      <c r="V9" s="212">
        <f>$F9/$G9*M9/$H9</f>
        <v>1.5641116206896553</v>
      </c>
      <c r="W9" s="210" t="s">
        <v>77</v>
      </c>
      <c r="X9" s="213" t="s">
        <v>77</v>
      </c>
      <c r="Y9" s="209" t="s">
        <v>77</v>
      </c>
      <c r="Z9" s="210" t="s">
        <v>77</v>
      </c>
      <c r="AA9" s="210" t="s">
        <v>77</v>
      </c>
      <c r="AB9" s="210" t="s">
        <v>77</v>
      </c>
      <c r="AC9" s="214">
        <f>T9*$H9</f>
        <v>453.59237000000002</v>
      </c>
      <c r="AD9" s="210" t="s">
        <v>77</v>
      </c>
      <c r="AE9" s="214">
        <f>V9*$H9</f>
        <v>45.359237</v>
      </c>
      <c r="AF9" s="210" t="s">
        <v>77</v>
      </c>
      <c r="AG9" s="213" t="s">
        <v>77</v>
      </c>
      <c r="AH9" s="209" t="s">
        <v>77</v>
      </c>
      <c r="AI9" s="210" t="s">
        <v>77</v>
      </c>
      <c r="AJ9" s="210" t="s">
        <v>77</v>
      </c>
      <c r="AK9" s="210" t="s">
        <v>77</v>
      </c>
      <c r="AL9" s="214">
        <f>AC9*$G9</f>
        <v>453.59237000000002</v>
      </c>
      <c r="AM9" s="210" t="s">
        <v>77</v>
      </c>
      <c r="AN9" s="214">
        <f>AE9*$G9</f>
        <v>45.359237</v>
      </c>
      <c r="AO9" s="210" t="s">
        <v>77</v>
      </c>
      <c r="AP9" s="213" t="s">
        <v>77</v>
      </c>
      <c r="AQ9" s="125"/>
    </row>
    <row r="10" spans="1:43" ht="54" customHeight="1" x14ac:dyDescent="0.25">
      <c r="A10" s="198"/>
      <c r="B10" s="199"/>
      <c r="C10" s="200" t="s">
        <v>78</v>
      </c>
      <c r="D10" s="216"/>
      <c r="E10" s="202">
        <v>1</v>
      </c>
      <c r="F10" s="203">
        <f t="shared" si="0"/>
        <v>45359.237000000001</v>
      </c>
      <c r="G10" s="202">
        <f>'Release Days and Sites'!K8</f>
        <v>1</v>
      </c>
      <c r="H10" s="204">
        <f>'Release Days and Sites'!D6</f>
        <v>300</v>
      </c>
      <c r="I10" s="205">
        <v>0</v>
      </c>
      <c r="J10" s="206">
        <v>0</v>
      </c>
      <c r="K10" s="207">
        <f>'Releases_Exp. Scen. 1'!I6</f>
        <v>0.01</v>
      </c>
      <c r="L10" s="206">
        <v>0</v>
      </c>
      <c r="M10" s="207">
        <f>'Releases_Exp. Scen. 1'!I5</f>
        <v>5.0000000000000001E-3</v>
      </c>
      <c r="N10" s="207"/>
      <c r="O10" s="208"/>
      <c r="P10" s="209" t="s">
        <v>77</v>
      </c>
      <c r="Q10" s="210" t="s">
        <v>77</v>
      </c>
      <c r="R10" s="210" t="s">
        <v>77</v>
      </c>
      <c r="S10" s="210" t="s">
        <v>77</v>
      </c>
      <c r="T10" s="211">
        <f>$F10/$G10*K10/$H10</f>
        <v>1.5119745666666666</v>
      </c>
      <c r="U10" s="210" t="s">
        <v>77</v>
      </c>
      <c r="V10" s="212">
        <f>$F10/$G10*M10/$H10</f>
        <v>0.75598728333333332</v>
      </c>
      <c r="W10" s="210" t="s">
        <v>77</v>
      </c>
      <c r="X10" s="213" t="s">
        <v>77</v>
      </c>
      <c r="Y10" s="209" t="s">
        <v>77</v>
      </c>
      <c r="Z10" s="210" t="s">
        <v>77</v>
      </c>
      <c r="AA10" s="210" t="s">
        <v>77</v>
      </c>
      <c r="AB10" s="210" t="s">
        <v>77</v>
      </c>
      <c r="AC10" s="214">
        <f>T10*$H10</f>
        <v>453.59237000000002</v>
      </c>
      <c r="AD10" s="210" t="s">
        <v>77</v>
      </c>
      <c r="AE10" s="214">
        <f>V10*$H10</f>
        <v>226.79618500000001</v>
      </c>
      <c r="AF10" s="210" t="s">
        <v>77</v>
      </c>
      <c r="AG10" s="213" t="s">
        <v>77</v>
      </c>
      <c r="AH10" s="209" t="s">
        <v>77</v>
      </c>
      <c r="AI10" s="210" t="s">
        <v>77</v>
      </c>
      <c r="AJ10" s="210" t="s">
        <v>77</v>
      </c>
      <c r="AK10" s="210" t="s">
        <v>77</v>
      </c>
      <c r="AL10" s="214">
        <f>AC10*$G10</f>
        <v>453.59237000000002</v>
      </c>
      <c r="AM10" s="210" t="s">
        <v>77</v>
      </c>
      <c r="AN10" s="214">
        <f>AE10*$G10</f>
        <v>226.79618500000001</v>
      </c>
      <c r="AO10" s="210" t="s">
        <v>77</v>
      </c>
      <c r="AP10" s="213" t="s">
        <v>77</v>
      </c>
      <c r="AQ10" s="125"/>
    </row>
    <row r="11" spans="1:43" ht="54" customHeight="1" thickBot="1" x14ac:dyDescent="0.3">
      <c r="A11" s="217"/>
      <c r="B11" s="218"/>
      <c r="C11" s="219"/>
      <c r="D11" s="220"/>
      <c r="E11" s="221">
        <v>1</v>
      </c>
      <c r="F11" s="222">
        <f t="shared" si="0"/>
        <v>45359.237000000001</v>
      </c>
      <c r="G11" s="221">
        <f>'Release Days and Sites'!J6</f>
        <v>1</v>
      </c>
      <c r="H11" s="223">
        <f>'Release Days and Sites'!C6</f>
        <v>29</v>
      </c>
      <c r="I11" s="224">
        <v>0</v>
      </c>
      <c r="J11" s="225">
        <v>0</v>
      </c>
      <c r="K11" s="226">
        <f>'Releases_Exp. Scen. 1'!I6</f>
        <v>0.01</v>
      </c>
      <c r="L11" s="225">
        <v>0</v>
      </c>
      <c r="M11" s="226">
        <f>'Releases_Exp. Scen. 1'!I5</f>
        <v>5.0000000000000001E-3</v>
      </c>
      <c r="N11" s="226"/>
      <c r="O11" s="227"/>
      <c r="P11" s="228" t="s">
        <v>77</v>
      </c>
      <c r="Q11" s="229" t="s">
        <v>77</v>
      </c>
      <c r="R11" s="229" t="s">
        <v>77</v>
      </c>
      <c r="S11" s="229" t="s">
        <v>77</v>
      </c>
      <c r="T11" s="230">
        <f>$F11/$G11*K11/$H11</f>
        <v>15.641116206896552</v>
      </c>
      <c r="U11" s="229" t="s">
        <v>77</v>
      </c>
      <c r="V11" s="231">
        <f>$F11/$G11*M11/$H11</f>
        <v>7.8205581034482758</v>
      </c>
      <c r="W11" s="229" t="s">
        <v>77</v>
      </c>
      <c r="X11" s="232" t="s">
        <v>77</v>
      </c>
      <c r="Y11" s="228" t="s">
        <v>77</v>
      </c>
      <c r="Z11" s="229" t="s">
        <v>77</v>
      </c>
      <c r="AA11" s="229" t="s">
        <v>77</v>
      </c>
      <c r="AB11" s="229" t="s">
        <v>77</v>
      </c>
      <c r="AC11" s="233">
        <f>T11*$H11</f>
        <v>453.59237000000002</v>
      </c>
      <c r="AD11" s="229" t="s">
        <v>77</v>
      </c>
      <c r="AE11" s="233">
        <f>V11*$H11</f>
        <v>226.79618500000001</v>
      </c>
      <c r="AF11" s="229" t="s">
        <v>77</v>
      </c>
      <c r="AG11" s="232" t="s">
        <v>77</v>
      </c>
      <c r="AH11" s="228" t="s">
        <v>77</v>
      </c>
      <c r="AI11" s="229" t="s">
        <v>77</v>
      </c>
      <c r="AJ11" s="229" t="s">
        <v>77</v>
      </c>
      <c r="AK11" s="229" t="s">
        <v>77</v>
      </c>
      <c r="AL11" s="233">
        <f>AC11*$G11</f>
        <v>453.59237000000002</v>
      </c>
      <c r="AM11" s="229" t="s">
        <v>77</v>
      </c>
      <c r="AN11" s="233">
        <f>AE11*$G11</f>
        <v>226.79618500000001</v>
      </c>
      <c r="AO11" s="229" t="s">
        <v>77</v>
      </c>
      <c r="AP11" s="232" t="s">
        <v>77</v>
      </c>
      <c r="AQ11" s="125"/>
    </row>
    <row r="12" spans="1:43" s="253" customFormat="1" ht="72.75" customHeight="1" x14ac:dyDescent="0.25">
      <c r="A12" s="234">
        <v>2</v>
      </c>
      <c r="B12" s="235" t="s">
        <v>31</v>
      </c>
      <c r="C12" s="236" t="s">
        <v>79</v>
      </c>
      <c r="D12" s="237" t="s">
        <v>15</v>
      </c>
      <c r="E12" s="238">
        <v>1</v>
      </c>
      <c r="F12" s="239">
        <f t="shared" si="0"/>
        <v>45359.237000000001</v>
      </c>
      <c r="G12" s="238">
        <f>'Release Days and Sites'!K7</f>
        <v>1</v>
      </c>
      <c r="H12" s="240">
        <f>'Release Days and Sites'!D7</f>
        <v>60</v>
      </c>
      <c r="I12" s="241">
        <f>'Releases_Exp. Scen. 2'!C16</f>
        <v>6.1206896551724135E-6</v>
      </c>
      <c r="J12" s="242">
        <f>'Releases_Exp. Scen. 2'!B16</f>
        <v>3.2232758620689656E-5</v>
      </c>
      <c r="K12" s="238">
        <v>0</v>
      </c>
      <c r="L12" s="238">
        <v>0</v>
      </c>
      <c r="M12" s="238"/>
      <c r="N12" s="238"/>
      <c r="O12" s="243"/>
      <c r="P12" s="244">
        <f>$F12/$G12*I12/$H12</f>
        <v>4.6271635445402299E-3</v>
      </c>
      <c r="Q12" s="245"/>
      <c r="R12" s="245">
        <f>$F12/$G12*J12/$H12</f>
        <v>2.4367555623994251E-2</v>
      </c>
      <c r="S12" s="245"/>
      <c r="T12" s="246" t="s">
        <v>77</v>
      </c>
      <c r="U12" s="246" t="s">
        <v>77</v>
      </c>
      <c r="V12" s="246" t="s">
        <v>77</v>
      </c>
      <c r="W12" s="246" t="s">
        <v>77</v>
      </c>
      <c r="X12" s="247" t="s">
        <v>77</v>
      </c>
      <c r="Y12" s="248">
        <f>P12*$H12</f>
        <v>0.27762981267241377</v>
      </c>
      <c r="Z12" s="249"/>
      <c r="AA12" s="250">
        <f>R12*$H12</f>
        <v>1.4620533374396552</v>
      </c>
      <c r="AB12" s="250"/>
      <c r="AC12" s="246" t="s">
        <v>77</v>
      </c>
      <c r="AD12" s="246" t="s">
        <v>77</v>
      </c>
      <c r="AE12" s="246" t="s">
        <v>77</v>
      </c>
      <c r="AF12" s="246" t="s">
        <v>77</v>
      </c>
      <c r="AG12" s="247" t="s">
        <v>77</v>
      </c>
      <c r="AH12" s="251">
        <f t="shared" ref="AH12:AH21" si="1">Y12*$G12</f>
        <v>0.27762981267241377</v>
      </c>
      <c r="AI12" s="252"/>
      <c r="AJ12" s="250">
        <f t="shared" ref="AJ12:AJ21" si="2">AA12*$G12</f>
        <v>1.4620533374396552</v>
      </c>
      <c r="AK12" s="250"/>
      <c r="AL12" s="246" t="s">
        <v>77</v>
      </c>
      <c r="AM12" s="246" t="s">
        <v>77</v>
      </c>
      <c r="AN12" s="246" t="s">
        <v>77</v>
      </c>
      <c r="AO12" s="246" t="s">
        <v>77</v>
      </c>
      <c r="AP12" s="247" t="s">
        <v>77</v>
      </c>
    </row>
    <row r="13" spans="1:43" x14ac:dyDescent="0.25">
      <c r="A13" s="254"/>
      <c r="B13" s="255"/>
      <c r="C13" s="215"/>
      <c r="D13" s="216"/>
      <c r="E13" s="202">
        <v>1</v>
      </c>
      <c r="F13" s="203">
        <f t="shared" si="0"/>
        <v>45359.237000000001</v>
      </c>
      <c r="G13" s="202">
        <f>'Release Days and Sites'!J7</f>
        <v>1</v>
      </c>
      <c r="H13" s="204">
        <f>'Release Days and Sites'!C7</f>
        <v>10</v>
      </c>
      <c r="I13" s="256">
        <f>'Releases_Exp. Scen. 2'!C16</f>
        <v>6.1206896551724135E-6</v>
      </c>
      <c r="J13" s="207">
        <f>'Releases_Exp. Scen. 2'!B16</f>
        <v>3.2232758620689656E-5</v>
      </c>
      <c r="K13" s="202">
        <v>0</v>
      </c>
      <c r="L13" s="202">
        <v>0</v>
      </c>
      <c r="M13" s="202"/>
      <c r="N13" s="202"/>
      <c r="O13" s="257"/>
      <c r="P13" s="258">
        <f>$F13/$G13*I13/$H13</f>
        <v>2.7762981267241377E-2</v>
      </c>
      <c r="Q13" s="259"/>
      <c r="R13" s="259">
        <f>$F13/$G13*J13/$H13</f>
        <v>0.14620533374396552</v>
      </c>
      <c r="S13" s="259"/>
      <c r="T13" s="210" t="s">
        <v>77</v>
      </c>
      <c r="U13" s="210" t="s">
        <v>77</v>
      </c>
      <c r="V13" s="210" t="s">
        <v>77</v>
      </c>
      <c r="W13" s="210" t="s">
        <v>77</v>
      </c>
      <c r="X13" s="213" t="s">
        <v>77</v>
      </c>
      <c r="Y13" s="260">
        <f>P13*$H13</f>
        <v>0.27762981267241377</v>
      </c>
      <c r="Z13" s="261"/>
      <c r="AA13" s="262">
        <f>R13*$H13</f>
        <v>1.4620533374396552</v>
      </c>
      <c r="AB13" s="262"/>
      <c r="AC13" s="210" t="s">
        <v>77</v>
      </c>
      <c r="AD13" s="210" t="s">
        <v>77</v>
      </c>
      <c r="AE13" s="210" t="s">
        <v>77</v>
      </c>
      <c r="AF13" s="210" t="s">
        <v>77</v>
      </c>
      <c r="AG13" s="213" t="s">
        <v>77</v>
      </c>
      <c r="AH13" s="263">
        <f t="shared" si="1"/>
        <v>0.27762981267241377</v>
      </c>
      <c r="AI13" s="264"/>
      <c r="AJ13" s="262">
        <f t="shared" si="2"/>
        <v>1.4620533374396552</v>
      </c>
      <c r="AK13" s="262"/>
      <c r="AL13" s="210" t="s">
        <v>77</v>
      </c>
      <c r="AM13" s="210" t="s">
        <v>77</v>
      </c>
      <c r="AN13" s="210" t="s">
        <v>77</v>
      </c>
      <c r="AO13" s="210" t="s">
        <v>77</v>
      </c>
      <c r="AP13" s="213" t="s">
        <v>77</v>
      </c>
      <c r="AQ13" s="125"/>
    </row>
    <row r="14" spans="1:43" ht="62.25" customHeight="1" x14ac:dyDescent="0.25">
      <c r="A14" s="254"/>
      <c r="B14" s="255"/>
      <c r="C14" s="200" t="s">
        <v>80</v>
      </c>
      <c r="D14" s="216"/>
      <c r="E14" s="202">
        <v>1</v>
      </c>
      <c r="F14" s="203">
        <f t="shared" si="0"/>
        <v>45359.237000000001</v>
      </c>
      <c r="G14" s="202">
        <f>'Release Days and Sites'!K7</f>
        <v>1</v>
      </c>
      <c r="H14" s="204">
        <f>'Release Days and Sites'!D7</f>
        <v>60</v>
      </c>
      <c r="I14" s="256">
        <f>'Releases_Exp. Scen. 2'!C17</f>
        <v>7.3100000000000003E-6</v>
      </c>
      <c r="J14" s="207">
        <f>'Releases_Exp. Scen. 2'!B17</f>
        <v>7.4200000000000001E-5</v>
      </c>
      <c r="K14" s="202">
        <v>0</v>
      </c>
      <c r="L14" s="202">
        <v>0</v>
      </c>
      <c r="M14" s="202"/>
      <c r="N14" s="202"/>
      <c r="O14" s="257"/>
      <c r="P14" s="258">
        <f>$F14/$G14*I14/$H14</f>
        <v>5.5262670411666669E-3</v>
      </c>
      <c r="Q14" s="259"/>
      <c r="R14" s="259">
        <f>$F14/$G14*J14/$H14</f>
        <v>5.6094256423333336E-2</v>
      </c>
      <c r="S14" s="259"/>
      <c r="T14" s="210" t="s">
        <v>77</v>
      </c>
      <c r="U14" s="210" t="s">
        <v>77</v>
      </c>
      <c r="V14" s="210" t="s">
        <v>77</v>
      </c>
      <c r="W14" s="210" t="s">
        <v>77</v>
      </c>
      <c r="X14" s="213" t="s">
        <v>77</v>
      </c>
      <c r="Y14" s="260">
        <f>P14*$H14</f>
        <v>0.33157602247000001</v>
      </c>
      <c r="Z14" s="261"/>
      <c r="AA14" s="265">
        <f>R14*$H14</f>
        <v>3.3656553854000002</v>
      </c>
      <c r="AB14" s="265"/>
      <c r="AC14" s="210" t="s">
        <v>77</v>
      </c>
      <c r="AD14" s="210" t="s">
        <v>77</v>
      </c>
      <c r="AE14" s="210" t="s">
        <v>77</v>
      </c>
      <c r="AF14" s="210" t="s">
        <v>77</v>
      </c>
      <c r="AG14" s="213" t="s">
        <v>77</v>
      </c>
      <c r="AH14" s="266">
        <f t="shared" si="1"/>
        <v>0.33157602247000001</v>
      </c>
      <c r="AI14" s="267"/>
      <c r="AJ14" s="268">
        <f t="shared" si="2"/>
        <v>3.3656553854000002</v>
      </c>
      <c r="AK14" s="268"/>
      <c r="AL14" s="210" t="s">
        <v>77</v>
      </c>
      <c r="AM14" s="210" t="s">
        <v>77</v>
      </c>
      <c r="AN14" s="210" t="s">
        <v>77</v>
      </c>
      <c r="AO14" s="210" t="s">
        <v>77</v>
      </c>
      <c r="AP14" s="213" t="s">
        <v>77</v>
      </c>
      <c r="AQ14" s="125"/>
    </row>
    <row r="15" spans="1:43" ht="15.75" thickBot="1" x14ac:dyDescent="0.3">
      <c r="A15" s="269"/>
      <c r="B15" s="270"/>
      <c r="C15" s="219"/>
      <c r="D15" s="220"/>
      <c r="E15" s="221">
        <v>1</v>
      </c>
      <c r="F15" s="222">
        <f t="shared" si="0"/>
        <v>45359.237000000001</v>
      </c>
      <c r="G15" s="221">
        <f>'Release Days and Sites'!J7</f>
        <v>1</v>
      </c>
      <c r="H15" s="223">
        <f>'Release Days and Sites'!C7</f>
        <v>10</v>
      </c>
      <c r="I15" s="271">
        <f>'Releases_Exp. Scen. 2'!C17</f>
        <v>7.3100000000000003E-6</v>
      </c>
      <c r="J15" s="226">
        <f>'Releases_Exp. Scen. 2'!B17</f>
        <v>7.4200000000000001E-5</v>
      </c>
      <c r="K15" s="221">
        <v>0</v>
      </c>
      <c r="L15" s="221">
        <v>0</v>
      </c>
      <c r="M15" s="221"/>
      <c r="N15" s="221"/>
      <c r="O15" s="272"/>
      <c r="P15" s="273">
        <f>$F15/$G15*I15/$H15</f>
        <v>3.3157602246999998E-2</v>
      </c>
      <c r="Q15" s="274"/>
      <c r="R15" s="274">
        <f>$F15/$G15*J15/$H15</f>
        <v>0.33656553854000004</v>
      </c>
      <c r="S15" s="274"/>
      <c r="T15" s="229" t="s">
        <v>77</v>
      </c>
      <c r="U15" s="229" t="s">
        <v>77</v>
      </c>
      <c r="V15" s="229" t="s">
        <v>77</v>
      </c>
      <c r="W15" s="229" t="s">
        <v>77</v>
      </c>
      <c r="X15" s="232" t="s">
        <v>77</v>
      </c>
      <c r="Y15" s="275">
        <f>P15*$H15</f>
        <v>0.33157602246999995</v>
      </c>
      <c r="Z15" s="276"/>
      <c r="AA15" s="277">
        <f>R15*$H15</f>
        <v>3.3656553854000002</v>
      </c>
      <c r="AB15" s="277"/>
      <c r="AC15" s="229" t="s">
        <v>77</v>
      </c>
      <c r="AD15" s="229" t="s">
        <v>77</v>
      </c>
      <c r="AE15" s="229" t="s">
        <v>77</v>
      </c>
      <c r="AF15" s="229" t="s">
        <v>77</v>
      </c>
      <c r="AG15" s="232" t="s">
        <v>77</v>
      </c>
      <c r="AH15" s="278">
        <f t="shared" si="1"/>
        <v>0.33157602246999995</v>
      </c>
      <c r="AI15" s="279"/>
      <c r="AJ15" s="280">
        <f t="shared" si="2"/>
        <v>3.3656553854000002</v>
      </c>
      <c r="AK15" s="280"/>
      <c r="AL15" s="229" t="s">
        <v>77</v>
      </c>
      <c r="AM15" s="229" t="s">
        <v>77</v>
      </c>
      <c r="AN15" s="229" t="s">
        <v>77</v>
      </c>
      <c r="AO15" s="229" t="s">
        <v>77</v>
      </c>
      <c r="AP15" s="232" t="s">
        <v>77</v>
      </c>
      <c r="AQ15" s="125"/>
    </row>
    <row r="16" spans="1:43" ht="45" customHeight="1" x14ac:dyDescent="0.25">
      <c r="A16" s="281">
        <v>3</v>
      </c>
      <c r="B16" s="235" t="s">
        <v>32</v>
      </c>
      <c r="C16" s="281" t="s">
        <v>79</v>
      </c>
      <c r="D16" s="282" t="s">
        <v>16</v>
      </c>
      <c r="E16" s="238">
        <v>1</v>
      </c>
      <c r="F16" s="239">
        <f t="shared" si="0"/>
        <v>45359.237000000001</v>
      </c>
      <c r="G16" s="238">
        <f>'Release Days and Sites'!K8</f>
        <v>1</v>
      </c>
      <c r="H16" s="243" t="str">
        <f>'Release Days and Sites'!D8</f>
        <v>15 (water); 16 (air)</v>
      </c>
      <c r="I16" s="241">
        <f>'Releases_Exp. Scen. 3'!C20</f>
        <v>5.7872044506258695E-5</v>
      </c>
      <c r="J16" s="242">
        <f>'Releases_Exp. Scen. 3'!B20</f>
        <v>1.070931849791377E-5</v>
      </c>
      <c r="K16" s="238">
        <v>0</v>
      </c>
      <c r="L16" s="238">
        <v>0</v>
      </c>
      <c r="M16" s="238"/>
      <c r="N16" s="238"/>
      <c r="O16" s="243"/>
      <c r="P16" s="251">
        <f>$F16/$G16*I16/16</f>
        <v>0.16406448640212101</v>
      </c>
      <c r="Q16" s="252"/>
      <c r="R16" s="252">
        <f>$F16/$G16*J16/15</f>
        <v>3.238443439035698E-2</v>
      </c>
      <c r="S16" s="252"/>
      <c r="T16" s="246" t="s">
        <v>77</v>
      </c>
      <c r="U16" s="246" t="s">
        <v>77</v>
      </c>
      <c r="V16" s="246" t="s">
        <v>77</v>
      </c>
      <c r="W16" s="246" t="s">
        <v>77</v>
      </c>
      <c r="X16" s="247" t="s">
        <v>77</v>
      </c>
      <c r="Y16" s="283">
        <f>P16*16</f>
        <v>2.6250317824339362</v>
      </c>
      <c r="Z16" s="284"/>
      <c r="AA16" s="252">
        <f>R16*15</f>
        <v>0.48576651585535469</v>
      </c>
      <c r="AB16" s="252"/>
      <c r="AC16" s="246" t="s">
        <v>77</v>
      </c>
      <c r="AD16" s="246" t="s">
        <v>77</v>
      </c>
      <c r="AE16" s="246" t="s">
        <v>77</v>
      </c>
      <c r="AF16" s="246" t="s">
        <v>77</v>
      </c>
      <c r="AG16" s="247" t="s">
        <v>77</v>
      </c>
      <c r="AH16" s="285">
        <f t="shared" si="1"/>
        <v>2.6250317824339362</v>
      </c>
      <c r="AI16" s="250"/>
      <c r="AJ16" s="250">
        <f t="shared" si="2"/>
        <v>0.48576651585535469</v>
      </c>
      <c r="AK16" s="250"/>
      <c r="AL16" s="246" t="s">
        <v>77</v>
      </c>
      <c r="AM16" s="246" t="s">
        <v>77</v>
      </c>
      <c r="AN16" s="246" t="s">
        <v>77</v>
      </c>
      <c r="AO16" s="246" t="s">
        <v>77</v>
      </c>
      <c r="AP16" s="247" t="s">
        <v>77</v>
      </c>
      <c r="AQ16" s="125"/>
    </row>
    <row r="17" spans="1:43" ht="45" customHeight="1" x14ac:dyDescent="0.25">
      <c r="A17" s="286"/>
      <c r="B17" s="255"/>
      <c r="C17" s="286"/>
      <c r="D17" s="287"/>
      <c r="E17" s="202">
        <v>1</v>
      </c>
      <c r="F17" s="203">
        <f t="shared" si="0"/>
        <v>45359.237000000001</v>
      </c>
      <c r="G17" s="202">
        <f>'Release Days and Sites'!J8</f>
        <v>1</v>
      </c>
      <c r="H17" s="257">
        <f>'Release Days and Sites'!C8</f>
        <v>1</v>
      </c>
      <c r="I17" s="256">
        <f>'Releases_Exp. Scen. 3'!C20</f>
        <v>5.7872044506258695E-5</v>
      </c>
      <c r="J17" s="207">
        <f>'Releases_Exp. Scen. 3'!B20</f>
        <v>1.070931849791377E-5</v>
      </c>
      <c r="K17" s="202">
        <v>0</v>
      </c>
      <c r="L17" s="202">
        <v>0</v>
      </c>
      <c r="M17" s="202"/>
      <c r="N17" s="202"/>
      <c r="O17" s="257"/>
      <c r="P17" s="263">
        <f>$F17/$G17*I17/1</f>
        <v>2.6250317824339362</v>
      </c>
      <c r="Q17" s="264"/>
      <c r="R17" s="264">
        <f>$F17/$G17*J17/1</f>
        <v>0.48576651585535469</v>
      </c>
      <c r="S17" s="264"/>
      <c r="T17" s="210" t="s">
        <v>77</v>
      </c>
      <c r="U17" s="210" t="s">
        <v>77</v>
      </c>
      <c r="V17" s="210" t="s">
        <v>77</v>
      </c>
      <c r="W17" s="210" t="s">
        <v>77</v>
      </c>
      <c r="X17" s="213" t="s">
        <v>77</v>
      </c>
      <c r="Y17" s="288">
        <f>P17*1</f>
        <v>2.6250317824339362</v>
      </c>
      <c r="Z17" s="289"/>
      <c r="AA17" s="264">
        <f>R17*1</f>
        <v>0.48576651585535469</v>
      </c>
      <c r="AB17" s="264"/>
      <c r="AC17" s="210" t="s">
        <v>77</v>
      </c>
      <c r="AD17" s="210" t="s">
        <v>77</v>
      </c>
      <c r="AE17" s="210" t="s">
        <v>77</v>
      </c>
      <c r="AF17" s="210" t="s">
        <v>77</v>
      </c>
      <c r="AG17" s="213" t="s">
        <v>77</v>
      </c>
      <c r="AH17" s="290">
        <f t="shared" si="1"/>
        <v>2.6250317824339362</v>
      </c>
      <c r="AI17" s="262"/>
      <c r="AJ17" s="262">
        <f t="shared" si="2"/>
        <v>0.48576651585535469</v>
      </c>
      <c r="AK17" s="262"/>
      <c r="AL17" s="210" t="s">
        <v>77</v>
      </c>
      <c r="AM17" s="210" t="s">
        <v>77</v>
      </c>
      <c r="AN17" s="210" t="s">
        <v>77</v>
      </c>
      <c r="AO17" s="210" t="s">
        <v>77</v>
      </c>
      <c r="AP17" s="213" t="s">
        <v>77</v>
      </c>
      <c r="AQ17" s="125"/>
    </row>
    <row r="18" spans="1:43" ht="39.75" customHeight="1" x14ac:dyDescent="0.25">
      <c r="A18" s="286"/>
      <c r="B18" s="255"/>
      <c r="C18" s="286" t="s">
        <v>81</v>
      </c>
      <c r="D18" s="287"/>
      <c r="E18" s="202">
        <v>1</v>
      </c>
      <c r="F18" s="203">
        <f t="shared" si="0"/>
        <v>45359.237000000001</v>
      </c>
      <c r="G18" s="202">
        <f>'Release Days and Sites'!K8</f>
        <v>1</v>
      </c>
      <c r="H18" s="257" t="str">
        <f>'Release Days and Sites'!D8</f>
        <v>15 (water); 16 (air)</v>
      </c>
      <c r="I18" s="256">
        <f>'Releases_Exp. Scen. 3'!C21</f>
        <v>5.7962413452027699E-5</v>
      </c>
      <c r="J18" s="207">
        <f>'Releases_Exp. Scen. 3'!B21</f>
        <v>2.6310583580613257E-5</v>
      </c>
      <c r="K18" s="202">
        <v>0</v>
      </c>
      <c r="L18" s="202">
        <v>0</v>
      </c>
      <c r="M18" s="202"/>
      <c r="N18" s="202"/>
      <c r="O18" s="257"/>
      <c r="P18" s="263">
        <f>$F18/$G18*I18/16</f>
        <v>0.16432067805390704</v>
      </c>
      <c r="Q18" s="264"/>
      <c r="R18" s="262">
        <f>$F18/$G18*J18/15</f>
        <v>7.9561866416089699E-2</v>
      </c>
      <c r="S18" s="262"/>
      <c r="T18" s="210" t="s">
        <v>77</v>
      </c>
      <c r="U18" s="210" t="s">
        <v>77</v>
      </c>
      <c r="V18" s="210" t="s">
        <v>77</v>
      </c>
      <c r="W18" s="210" t="s">
        <v>77</v>
      </c>
      <c r="X18" s="213" t="s">
        <v>77</v>
      </c>
      <c r="Y18" s="291">
        <f>P18*16</f>
        <v>2.6291308488625127</v>
      </c>
      <c r="Z18" s="292"/>
      <c r="AA18" s="262">
        <f>R18*15</f>
        <v>1.1934279962413454</v>
      </c>
      <c r="AB18" s="262"/>
      <c r="AC18" s="210" t="s">
        <v>77</v>
      </c>
      <c r="AD18" s="210" t="s">
        <v>77</v>
      </c>
      <c r="AE18" s="210" t="s">
        <v>77</v>
      </c>
      <c r="AF18" s="210" t="s">
        <v>77</v>
      </c>
      <c r="AG18" s="213" t="s">
        <v>77</v>
      </c>
      <c r="AH18" s="293">
        <f t="shared" si="1"/>
        <v>2.6291308488625127</v>
      </c>
      <c r="AI18" s="294"/>
      <c r="AJ18" s="262">
        <f t="shared" si="2"/>
        <v>1.1934279962413454</v>
      </c>
      <c r="AK18" s="262"/>
      <c r="AL18" s="210" t="s">
        <v>77</v>
      </c>
      <c r="AM18" s="210" t="s">
        <v>77</v>
      </c>
      <c r="AN18" s="210" t="s">
        <v>77</v>
      </c>
      <c r="AO18" s="210" t="s">
        <v>77</v>
      </c>
      <c r="AP18" s="213" t="s">
        <v>77</v>
      </c>
      <c r="AQ18" s="125"/>
    </row>
    <row r="19" spans="1:43" ht="39.75" customHeight="1" thickBot="1" x14ac:dyDescent="0.3">
      <c r="A19" s="295"/>
      <c r="B19" s="270"/>
      <c r="C19" s="295"/>
      <c r="D19" s="296"/>
      <c r="E19" s="221">
        <v>1</v>
      </c>
      <c r="F19" s="222">
        <f t="shared" si="0"/>
        <v>45359.237000000001</v>
      </c>
      <c r="G19" s="221">
        <f>'Release Days and Sites'!J8</f>
        <v>1</v>
      </c>
      <c r="H19" s="272">
        <f>'Release Days and Sites'!C8</f>
        <v>1</v>
      </c>
      <c r="I19" s="271">
        <f>'Releases_Exp. Scen. 3'!C21</f>
        <v>5.7962413452027699E-5</v>
      </c>
      <c r="J19" s="226">
        <f>'Releases_Exp. Scen. 3'!B21</f>
        <v>2.6310583580613257E-5</v>
      </c>
      <c r="K19" s="221">
        <v>0</v>
      </c>
      <c r="L19" s="221">
        <v>0</v>
      </c>
      <c r="M19" s="221"/>
      <c r="N19" s="221"/>
      <c r="O19" s="272"/>
      <c r="P19" s="297">
        <f>$F19/$G19*I19/1</f>
        <v>2.6291308488625127</v>
      </c>
      <c r="Q19" s="298"/>
      <c r="R19" s="299">
        <f>$F19/$G19*J19/1</f>
        <v>1.1934279962413454</v>
      </c>
      <c r="S19" s="299"/>
      <c r="T19" s="229" t="s">
        <v>77</v>
      </c>
      <c r="U19" s="229" t="s">
        <v>77</v>
      </c>
      <c r="V19" s="229" t="s">
        <v>77</v>
      </c>
      <c r="W19" s="229" t="s">
        <v>77</v>
      </c>
      <c r="X19" s="232" t="s">
        <v>77</v>
      </c>
      <c r="Y19" s="300">
        <f>P19*1</f>
        <v>2.6291308488625127</v>
      </c>
      <c r="Z19" s="301"/>
      <c r="AA19" s="299">
        <f>R19*1</f>
        <v>1.1934279962413454</v>
      </c>
      <c r="AB19" s="299"/>
      <c r="AC19" s="229" t="s">
        <v>77</v>
      </c>
      <c r="AD19" s="229" t="s">
        <v>77</v>
      </c>
      <c r="AE19" s="229" t="s">
        <v>77</v>
      </c>
      <c r="AF19" s="229" t="s">
        <v>77</v>
      </c>
      <c r="AG19" s="232" t="s">
        <v>77</v>
      </c>
      <c r="AH19" s="302">
        <f t="shared" si="1"/>
        <v>2.6291308488625127</v>
      </c>
      <c r="AI19" s="303"/>
      <c r="AJ19" s="299">
        <f t="shared" si="2"/>
        <v>1.1934279962413454</v>
      </c>
      <c r="AK19" s="299"/>
      <c r="AL19" s="229" t="s">
        <v>77</v>
      </c>
      <c r="AM19" s="229" t="s">
        <v>77</v>
      </c>
      <c r="AN19" s="229" t="s">
        <v>77</v>
      </c>
      <c r="AO19" s="229" t="s">
        <v>77</v>
      </c>
      <c r="AP19" s="232" t="s">
        <v>77</v>
      </c>
      <c r="AQ19" s="125"/>
    </row>
    <row r="20" spans="1:43" ht="90" customHeight="1" x14ac:dyDescent="0.25">
      <c r="A20" s="234">
        <v>4</v>
      </c>
      <c r="B20" s="235" t="s">
        <v>33</v>
      </c>
      <c r="C20" s="281" t="s">
        <v>79</v>
      </c>
      <c r="D20" s="282" t="s">
        <v>17</v>
      </c>
      <c r="E20" s="238">
        <v>1</v>
      </c>
      <c r="F20" s="239">
        <f t="shared" si="0"/>
        <v>45359.237000000001</v>
      </c>
      <c r="G20" s="238">
        <f>'Release Days and Sites'!K9</f>
        <v>1</v>
      </c>
      <c r="H20" s="243" t="str">
        <f>'Release Days and Sites'!D9</f>
        <v>12 (water); 16 (air)</v>
      </c>
      <c r="I20" s="241">
        <f>'Releases_Exp. Scen. 4_EURAR'!C33</f>
        <v>7.2865099009900989E-6</v>
      </c>
      <c r="J20" s="242">
        <f>'Releases_Exp. Scen. 4_EURAR'!B33</f>
        <v>1.0208428217821782E-5</v>
      </c>
      <c r="K20" s="238">
        <v>0</v>
      </c>
      <c r="L20" s="238">
        <v>0</v>
      </c>
      <c r="M20" s="238"/>
      <c r="N20" s="238"/>
      <c r="O20" s="243"/>
      <c r="P20" s="244">
        <f>$F20/$G20*I20/16</f>
        <v>2.0656908093866028E-2</v>
      </c>
      <c r="Q20" s="245"/>
      <c r="R20" s="252">
        <f>$F20/$G20*J20/12</f>
        <v>3.8587209577472151E-2</v>
      </c>
      <c r="S20" s="252"/>
      <c r="T20" s="246" t="s">
        <v>77</v>
      </c>
      <c r="U20" s="246" t="s">
        <v>77</v>
      </c>
      <c r="V20" s="246" t="s">
        <v>77</v>
      </c>
      <c r="W20" s="246" t="s">
        <v>77</v>
      </c>
      <c r="X20" s="247" t="s">
        <v>77</v>
      </c>
      <c r="Y20" s="304">
        <f>P20*16</f>
        <v>0.33051052950185644</v>
      </c>
      <c r="Z20" s="305"/>
      <c r="AA20" s="252">
        <f>R20*12</f>
        <v>0.46304651492966581</v>
      </c>
      <c r="AB20" s="252"/>
      <c r="AC20" s="246" t="s">
        <v>77</v>
      </c>
      <c r="AD20" s="246" t="s">
        <v>77</v>
      </c>
      <c r="AE20" s="246" t="s">
        <v>77</v>
      </c>
      <c r="AF20" s="246" t="s">
        <v>77</v>
      </c>
      <c r="AG20" s="247" t="s">
        <v>77</v>
      </c>
      <c r="AH20" s="304">
        <f t="shared" si="1"/>
        <v>0.33051052950185644</v>
      </c>
      <c r="AI20" s="305"/>
      <c r="AJ20" s="250">
        <f t="shared" si="2"/>
        <v>0.46304651492966581</v>
      </c>
      <c r="AK20" s="250"/>
      <c r="AL20" s="246" t="s">
        <v>77</v>
      </c>
      <c r="AM20" s="246" t="s">
        <v>77</v>
      </c>
      <c r="AN20" s="246" t="s">
        <v>77</v>
      </c>
      <c r="AO20" s="246" t="s">
        <v>77</v>
      </c>
      <c r="AP20" s="247" t="s">
        <v>77</v>
      </c>
      <c r="AQ20" s="125"/>
    </row>
    <row r="21" spans="1:43" x14ac:dyDescent="0.25">
      <c r="A21" s="254"/>
      <c r="B21" s="255"/>
      <c r="C21" s="286"/>
      <c r="D21" s="287"/>
      <c r="E21" s="202">
        <v>1</v>
      </c>
      <c r="F21" s="203">
        <f t="shared" si="0"/>
        <v>45359.237000000001</v>
      </c>
      <c r="G21" s="202">
        <f>'Release Days and Sites'!J9</f>
        <v>1</v>
      </c>
      <c r="H21" s="257">
        <f>'Release Days and Sites'!C9</f>
        <v>1</v>
      </c>
      <c r="I21" s="256">
        <f>'Releases_Exp. Scen. 4_EURAR'!C33</f>
        <v>7.2865099009900989E-6</v>
      </c>
      <c r="J21" s="207">
        <f>'Releases_Exp. Scen. 4_EURAR'!B33</f>
        <v>1.0208428217821782E-5</v>
      </c>
      <c r="K21" s="202">
        <v>0</v>
      </c>
      <c r="L21" s="202">
        <v>0</v>
      </c>
      <c r="M21" s="202"/>
      <c r="N21" s="202"/>
      <c r="O21" s="257"/>
      <c r="P21" s="306">
        <f>$F21/$G21*I21/1</f>
        <v>0.33051052950185644</v>
      </c>
      <c r="Q21" s="259"/>
      <c r="R21" s="264">
        <f>$F21/$G21*J21/1</f>
        <v>0.46304651492966581</v>
      </c>
      <c r="S21" s="264"/>
      <c r="T21" s="210" t="s">
        <v>77</v>
      </c>
      <c r="U21" s="210" t="s">
        <v>77</v>
      </c>
      <c r="V21" s="210" t="s">
        <v>77</v>
      </c>
      <c r="W21" s="210" t="s">
        <v>77</v>
      </c>
      <c r="X21" s="213" t="s">
        <v>77</v>
      </c>
      <c r="Y21" s="266">
        <f>P21*1</f>
        <v>0.33051052950185644</v>
      </c>
      <c r="Z21" s="267"/>
      <c r="AA21" s="264">
        <f>R21*1</f>
        <v>0.46304651492966581</v>
      </c>
      <c r="AB21" s="264"/>
      <c r="AC21" s="210" t="s">
        <v>77</v>
      </c>
      <c r="AD21" s="210" t="s">
        <v>77</v>
      </c>
      <c r="AE21" s="210" t="s">
        <v>77</v>
      </c>
      <c r="AF21" s="210" t="s">
        <v>77</v>
      </c>
      <c r="AG21" s="213" t="s">
        <v>77</v>
      </c>
      <c r="AH21" s="266">
        <f t="shared" si="1"/>
        <v>0.33051052950185644</v>
      </c>
      <c r="AI21" s="267"/>
      <c r="AJ21" s="262">
        <f t="shared" si="2"/>
        <v>0.46304651492966581</v>
      </c>
      <c r="AK21" s="262"/>
      <c r="AL21" s="210" t="s">
        <v>77</v>
      </c>
      <c r="AM21" s="210" t="s">
        <v>77</v>
      </c>
      <c r="AN21" s="210" t="s">
        <v>77</v>
      </c>
      <c r="AO21" s="210" t="s">
        <v>77</v>
      </c>
      <c r="AP21" s="213" t="s">
        <v>77</v>
      </c>
      <c r="AQ21" s="125"/>
    </row>
    <row r="22" spans="1:43" ht="66" customHeight="1" thickBot="1" x14ac:dyDescent="0.3">
      <c r="A22" s="269"/>
      <c r="B22" s="270"/>
      <c r="C22" s="307" t="s">
        <v>82</v>
      </c>
      <c r="D22" s="308" t="s">
        <v>18</v>
      </c>
      <c r="E22" s="221" t="s">
        <v>83</v>
      </c>
      <c r="F22" s="221" t="s">
        <v>83</v>
      </c>
      <c r="G22" s="221">
        <v>2</v>
      </c>
      <c r="H22" s="309" t="s">
        <v>84</v>
      </c>
      <c r="I22" s="310" t="s">
        <v>85</v>
      </c>
      <c r="J22" s="311"/>
      <c r="K22" s="311"/>
      <c r="L22" s="311"/>
      <c r="M22" s="311"/>
      <c r="N22" s="311"/>
      <c r="O22" s="312"/>
      <c r="P22" s="313" t="s">
        <v>85</v>
      </c>
      <c r="Q22" s="314"/>
      <c r="R22" s="314"/>
      <c r="S22" s="314"/>
      <c r="T22" s="314"/>
      <c r="U22" s="314"/>
      <c r="V22" s="314"/>
      <c r="W22" s="314"/>
      <c r="X22" s="315"/>
      <c r="Y22" s="313" t="s">
        <v>85</v>
      </c>
      <c r="Z22" s="314"/>
      <c r="AA22" s="314"/>
      <c r="AB22" s="314"/>
      <c r="AC22" s="314"/>
      <c r="AD22" s="314"/>
      <c r="AE22" s="314"/>
      <c r="AF22" s="314"/>
      <c r="AG22" s="315"/>
      <c r="AH22" s="313" t="s">
        <v>85</v>
      </c>
      <c r="AI22" s="314"/>
      <c r="AJ22" s="314"/>
      <c r="AK22" s="314"/>
      <c r="AL22" s="314"/>
      <c r="AM22" s="314"/>
      <c r="AN22" s="314"/>
      <c r="AO22" s="314"/>
      <c r="AP22" s="315"/>
      <c r="AQ22" s="125"/>
    </row>
    <row r="23" spans="1:43" ht="66" customHeight="1" x14ac:dyDescent="0.25">
      <c r="A23" s="234">
        <v>5</v>
      </c>
      <c r="B23" s="235" t="s">
        <v>34</v>
      </c>
      <c r="C23" s="186" t="s">
        <v>50</v>
      </c>
      <c r="D23" s="187" t="s">
        <v>51</v>
      </c>
      <c r="E23" s="188" t="s">
        <v>57</v>
      </c>
      <c r="F23" s="189" t="s">
        <v>58</v>
      </c>
      <c r="G23" s="190" t="s">
        <v>59</v>
      </c>
      <c r="H23" s="191" t="s">
        <v>60</v>
      </c>
      <c r="I23" s="192" t="s">
        <v>61</v>
      </c>
      <c r="J23" s="193" t="s">
        <v>62</v>
      </c>
      <c r="K23" s="190" t="s">
        <v>63</v>
      </c>
      <c r="L23" s="190" t="s">
        <v>64</v>
      </c>
      <c r="M23" s="316" t="s">
        <v>73</v>
      </c>
      <c r="N23" s="316" t="s">
        <v>86</v>
      </c>
      <c r="O23" s="196" t="s">
        <v>87</v>
      </c>
      <c r="P23" s="197" t="s">
        <v>66</v>
      </c>
      <c r="Q23" s="190" t="s">
        <v>67</v>
      </c>
      <c r="R23" s="190" t="s">
        <v>68</v>
      </c>
      <c r="S23" s="190" t="s">
        <v>69</v>
      </c>
      <c r="T23" s="190" t="s">
        <v>70</v>
      </c>
      <c r="U23" s="190" t="s">
        <v>71</v>
      </c>
      <c r="V23" s="190" t="s">
        <v>74</v>
      </c>
      <c r="W23" s="190" t="s">
        <v>88</v>
      </c>
      <c r="X23" s="196" t="s">
        <v>89</v>
      </c>
      <c r="Y23" s="197" t="s">
        <v>66</v>
      </c>
      <c r="Z23" s="190" t="s">
        <v>67</v>
      </c>
      <c r="AA23" s="190" t="s">
        <v>68</v>
      </c>
      <c r="AB23" s="190" t="s">
        <v>69</v>
      </c>
      <c r="AC23" s="190" t="s">
        <v>70</v>
      </c>
      <c r="AD23" s="190" t="s">
        <v>71</v>
      </c>
      <c r="AE23" s="190" t="s">
        <v>74</v>
      </c>
      <c r="AF23" s="190" t="s">
        <v>88</v>
      </c>
      <c r="AG23" s="196" t="s">
        <v>89</v>
      </c>
      <c r="AH23" s="197" t="s">
        <v>66</v>
      </c>
      <c r="AI23" s="190" t="s">
        <v>67</v>
      </c>
      <c r="AJ23" s="190" t="s">
        <v>68</v>
      </c>
      <c r="AK23" s="190" t="s">
        <v>69</v>
      </c>
      <c r="AL23" s="190" t="s">
        <v>70</v>
      </c>
      <c r="AM23" s="190" t="s">
        <v>71</v>
      </c>
      <c r="AN23" s="190" t="s">
        <v>75</v>
      </c>
      <c r="AO23" s="190" t="s">
        <v>88</v>
      </c>
      <c r="AP23" s="196" t="s">
        <v>89</v>
      </c>
      <c r="AQ23" s="125"/>
    </row>
    <row r="24" spans="1:43" ht="77.25" customHeight="1" x14ac:dyDescent="0.25">
      <c r="A24" s="254"/>
      <c r="B24" s="255"/>
      <c r="C24" s="286" t="s">
        <v>76</v>
      </c>
      <c r="D24" s="287" t="s">
        <v>19</v>
      </c>
      <c r="E24" s="202">
        <v>1</v>
      </c>
      <c r="F24" s="203">
        <f>$D$4*E24</f>
        <v>45359.237000000001</v>
      </c>
      <c r="G24" s="202">
        <f>'Release Days and Sites'!K10</f>
        <v>1</v>
      </c>
      <c r="H24" s="204">
        <f>'Release Days and Sites'!D10</f>
        <v>140</v>
      </c>
      <c r="I24" s="256"/>
      <c r="J24" s="207"/>
      <c r="K24" s="207">
        <f>'Releases_Exp. Scen. 5 and 10'!H6</f>
        <v>0.01</v>
      </c>
      <c r="L24" s="202"/>
      <c r="M24" s="207">
        <f>'Releases_Exp. Scen. 5 and 10'!H7</f>
        <v>1E-3</v>
      </c>
      <c r="N24" s="207">
        <f>'Releases_Exp. Scen. 5 and 10'!H8</f>
        <v>0.01</v>
      </c>
      <c r="O24" s="208">
        <f>'Releases_Exp. Scen. 5 and 10'!H9</f>
        <v>0.01</v>
      </c>
      <c r="P24" s="209" t="s">
        <v>77</v>
      </c>
      <c r="Q24" s="210" t="s">
        <v>77</v>
      </c>
      <c r="R24" s="210" t="s">
        <v>77</v>
      </c>
      <c r="S24" s="210" t="s">
        <v>77</v>
      </c>
      <c r="T24" s="317">
        <f>$F24/$G24*K24/$H24</f>
        <v>3.2399455000000001</v>
      </c>
      <c r="U24" s="210" t="s">
        <v>77</v>
      </c>
      <c r="V24" s="211">
        <f t="shared" ref="V24:X27" si="3">$F24/$G24*M24/$H24</f>
        <v>0.32399454999999999</v>
      </c>
      <c r="W24" s="317">
        <f t="shared" si="3"/>
        <v>3.2399455000000001</v>
      </c>
      <c r="X24" s="318">
        <f t="shared" si="3"/>
        <v>3.2399455000000001</v>
      </c>
      <c r="Y24" s="209" t="s">
        <v>77</v>
      </c>
      <c r="Z24" s="210" t="s">
        <v>77</v>
      </c>
      <c r="AA24" s="210" t="s">
        <v>77</v>
      </c>
      <c r="AB24" s="210" t="s">
        <v>77</v>
      </c>
      <c r="AC24" s="214">
        <f>T24*$H24</f>
        <v>453.59237000000002</v>
      </c>
      <c r="AD24" s="210" t="s">
        <v>77</v>
      </c>
      <c r="AE24" s="214">
        <f t="shared" ref="AE24:AG27" si="4">V24*$H24</f>
        <v>45.359237</v>
      </c>
      <c r="AF24" s="214">
        <f t="shared" si="4"/>
        <v>453.59237000000002</v>
      </c>
      <c r="AG24" s="204">
        <f t="shared" si="4"/>
        <v>453.59237000000002</v>
      </c>
      <c r="AH24" s="209" t="s">
        <v>77</v>
      </c>
      <c r="AI24" s="210" t="s">
        <v>77</v>
      </c>
      <c r="AJ24" s="210" t="s">
        <v>77</v>
      </c>
      <c r="AK24" s="210" t="s">
        <v>77</v>
      </c>
      <c r="AL24" s="214">
        <f>AC24*$G24</f>
        <v>453.59237000000002</v>
      </c>
      <c r="AM24" s="210" t="s">
        <v>77</v>
      </c>
      <c r="AN24" s="214">
        <f t="shared" ref="AN24:AP27" si="5">AE24*$G24</f>
        <v>45.359237</v>
      </c>
      <c r="AO24" s="214">
        <f t="shared" si="5"/>
        <v>453.59237000000002</v>
      </c>
      <c r="AP24" s="204">
        <f t="shared" si="5"/>
        <v>453.59237000000002</v>
      </c>
      <c r="AQ24" s="125"/>
    </row>
    <row r="25" spans="1:43" ht="24.75" customHeight="1" x14ac:dyDescent="0.25">
      <c r="A25" s="254"/>
      <c r="B25" s="255"/>
      <c r="C25" s="286"/>
      <c r="D25" s="287"/>
      <c r="E25" s="202">
        <v>1</v>
      </c>
      <c r="F25" s="203">
        <f>$D$4*E25</f>
        <v>45359.237000000001</v>
      </c>
      <c r="G25" s="202">
        <f>'Release Days and Sites'!J10</f>
        <v>1</v>
      </c>
      <c r="H25" s="204">
        <f>'Release Days and Sites'!C10</f>
        <v>16</v>
      </c>
      <c r="I25" s="256"/>
      <c r="J25" s="207"/>
      <c r="K25" s="207">
        <f>'Releases_Exp. Scen. 5 and 10'!H6</f>
        <v>0.01</v>
      </c>
      <c r="L25" s="202"/>
      <c r="M25" s="207">
        <f>'Releases_Exp. Scen. 5 and 10'!H7</f>
        <v>1E-3</v>
      </c>
      <c r="N25" s="207">
        <f>'Releases_Exp. Scen. 5 and 10'!H8</f>
        <v>0.01</v>
      </c>
      <c r="O25" s="208">
        <f>'Releases_Exp. Scen. 5 and 10'!H9</f>
        <v>0.01</v>
      </c>
      <c r="P25" s="209" t="s">
        <v>77</v>
      </c>
      <c r="Q25" s="210" t="s">
        <v>77</v>
      </c>
      <c r="R25" s="210" t="s">
        <v>77</v>
      </c>
      <c r="S25" s="210" t="s">
        <v>77</v>
      </c>
      <c r="T25" s="317">
        <f>$F25/$G25*K25/$H25</f>
        <v>28.349523125000001</v>
      </c>
      <c r="U25" s="210" t="s">
        <v>77</v>
      </c>
      <c r="V25" s="211">
        <f t="shared" si="3"/>
        <v>2.8349523125</v>
      </c>
      <c r="W25" s="317">
        <f t="shared" si="3"/>
        <v>28.349523125000001</v>
      </c>
      <c r="X25" s="318">
        <f t="shared" si="3"/>
        <v>28.349523125000001</v>
      </c>
      <c r="Y25" s="209" t="s">
        <v>77</v>
      </c>
      <c r="Z25" s="210" t="s">
        <v>77</v>
      </c>
      <c r="AA25" s="210" t="s">
        <v>77</v>
      </c>
      <c r="AB25" s="210" t="s">
        <v>77</v>
      </c>
      <c r="AC25" s="214">
        <f>T25*$H25</f>
        <v>453.59237000000002</v>
      </c>
      <c r="AD25" s="210" t="s">
        <v>77</v>
      </c>
      <c r="AE25" s="214">
        <f t="shared" si="4"/>
        <v>45.359237</v>
      </c>
      <c r="AF25" s="214">
        <f t="shared" si="4"/>
        <v>453.59237000000002</v>
      </c>
      <c r="AG25" s="204">
        <f t="shared" si="4"/>
        <v>453.59237000000002</v>
      </c>
      <c r="AH25" s="209" t="s">
        <v>77</v>
      </c>
      <c r="AI25" s="210" t="s">
        <v>77</v>
      </c>
      <c r="AJ25" s="210" t="s">
        <v>77</v>
      </c>
      <c r="AK25" s="210" t="s">
        <v>77</v>
      </c>
      <c r="AL25" s="214">
        <f>AC25*$G25</f>
        <v>453.59237000000002</v>
      </c>
      <c r="AM25" s="210" t="s">
        <v>77</v>
      </c>
      <c r="AN25" s="214">
        <f t="shared" si="5"/>
        <v>45.359237</v>
      </c>
      <c r="AO25" s="214">
        <f t="shared" si="5"/>
        <v>453.59237000000002</v>
      </c>
      <c r="AP25" s="204">
        <f t="shared" si="5"/>
        <v>453.59237000000002</v>
      </c>
      <c r="AQ25" s="125"/>
    </row>
    <row r="26" spans="1:43" ht="52.5" customHeight="1" x14ac:dyDescent="0.25">
      <c r="A26" s="254"/>
      <c r="B26" s="255"/>
      <c r="C26" s="286" t="s">
        <v>78</v>
      </c>
      <c r="D26" s="287"/>
      <c r="E26" s="202">
        <v>1</v>
      </c>
      <c r="F26" s="203">
        <f>$D$4*E26</f>
        <v>45359.237000000001</v>
      </c>
      <c r="G26" s="202">
        <f>'Release Days and Sites'!K10</f>
        <v>1</v>
      </c>
      <c r="H26" s="204">
        <f>'Release Days and Sites'!D10</f>
        <v>140</v>
      </c>
      <c r="I26" s="256"/>
      <c r="J26" s="207"/>
      <c r="K26" s="207">
        <f>'Releases_Exp. Scen. 5 and 10'!I6</f>
        <v>0.01</v>
      </c>
      <c r="L26" s="202"/>
      <c r="M26" s="207">
        <f>'Releases_Exp. Scen. 5 and 10'!I7</f>
        <v>5.0000000000000001E-3</v>
      </c>
      <c r="N26" s="207">
        <f>'Releases_Exp. Scen. 5 and 10'!I8</f>
        <v>0.01</v>
      </c>
      <c r="O26" s="208">
        <f>'Releases_Exp. Scen. 5 and 10'!I9</f>
        <v>2.5000000000000001E-2</v>
      </c>
      <c r="P26" s="209" t="s">
        <v>77</v>
      </c>
      <c r="Q26" s="210" t="s">
        <v>77</v>
      </c>
      <c r="R26" s="210" t="s">
        <v>77</v>
      </c>
      <c r="S26" s="210" t="s">
        <v>77</v>
      </c>
      <c r="T26" s="317">
        <f>$F26/$G26*K26/$H26</f>
        <v>3.2399455000000001</v>
      </c>
      <c r="U26" s="210" t="s">
        <v>77</v>
      </c>
      <c r="V26" s="211">
        <f t="shared" si="3"/>
        <v>1.6199727500000001</v>
      </c>
      <c r="W26" s="317">
        <f t="shared" si="3"/>
        <v>3.2399455000000001</v>
      </c>
      <c r="X26" s="318">
        <f t="shared" si="3"/>
        <v>8.0998637500000008</v>
      </c>
      <c r="Y26" s="209" t="s">
        <v>77</v>
      </c>
      <c r="Z26" s="210" t="s">
        <v>77</v>
      </c>
      <c r="AA26" s="210" t="s">
        <v>77</v>
      </c>
      <c r="AB26" s="210" t="s">
        <v>77</v>
      </c>
      <c r="AC26" s="214">
        <f>T26*$H26</f>
        <v>453.59237000000002</v>
      </c>
      <c r="AD26" s="210" t="s">
        <v>77</v>
      </c>
      <c r="AE26" s="214">
        <f t="shared" si="4"/>
        <v>226.79618500000001</v>
      </c>
      <c r="AF26" s="214">
        <f t="shared" si="4"/>
        <v>453.59237000000002</v>
      </c>
      <c r="AG26" s="204">
        <f t="shared" si="4"/>
        <v>1133.9809250000001</v>
      </c>
      <c r="AH26" s="209" t="s">
        <v>77</v>
      </c>
      <c r="AI26" s="210" t="s">
        <v>77</v>
      </c>
      <c r="AJ26" s="210" t="s">
        <v>77</v>
      </c>
      <c r="AK26" s="210" t="s">
        <v>77</v>
      </c>
      <c r="AL26" s="214">
        <f>AC26*$G26</f>
        <v>453.59237000000002</v>
      </c>
      <c r="AM26" s="210" t="s">
        <v>77</v>
      </c>
      <c r="AN26" s="214">
        <f t="shared" si="5"/>
        <v>226.79618500000001</v>
      </c>
      <c r="AO26" s="214">
        <f t="shared" si="5"/>
        <v>453.59237000000002</v>
      </c>
      <c r="AP26" s="204">
        <f t="shared" si="5"/>
        <v>1133.9809250000001</v>
      </c>
      <c r="AQ26" s="125"/>
    </row>
    <row r="27" spans="1:43" ht="52.5" customHeight="1" thickBot="1" x14ac:dyDescent="0.3">
      <c r="A27" s="269"/>
      <c r="B27" s="270"/>
      <c r="C27" s="295"/>
      <c r="D27" s="296"/>
      <c r="E27" s="221">
        <v>1</v>
      </c>
      <c r="F27" s="222">
        <f>$D$4*E27</f>
        <v>45359.237000000001</v>
      </c>
      <c r="G27" s="221">
        <f>'Release Days and Sites'!J10</f>
        <v>1</v>
      </c>
      <c r="H27" s="272">
        <f>'Release Days and Sites'!C10</f>
        <v>16</v>
      </c>
      <c r="I27" s="271"/>
      <c r="J27" s="226"/>
      <c r="K27" s="226">
        <f>'Releases_Exp. Scen. 5 and 10'!I6</f>
        <v>0.01</v>
      </c>
      <c r="L27" s="221"/>
      <c r="M27" s="226">
        <f>'Releases_Exp. Scen. 5 and 10'!I7</f>
        <v>5.0000000000000001E-3</v>
      </c>
      <c r="N27" s="226">
        <f>'Releases_Exp. Scen. 5 and 10'!I8</f>
        <v>0.01</v>
      </c>
      <c r="O27" s="227">
        <f>'Releases_Exp. Scen. 5 and 10'!I9</f>
        <v>2.5000000000000001E-2</v>
      </c>
      <c r="P27" s="228" t="s">
        <v>77</v>
      </c>
      <c r="Q27" s="229" t="s">
        <v>77</v>
      </c>
      <c r="R27" s="229" t="s">
        <v>77</v>
      </c>
      <c r="S27" s="229" t="s">
        <v>77</v>
      </c>
      <c r="T27" s="319">
        <f>$F27/$G27*K27/$H27</f>
        <v>28.349523125000001</v>
      </c>
      <c r="U27" s="229" t="s">
        <v>77</v>
      </c>
      <c r="V27" s="230">
        <f t="shared" si="3"/>
        <v>14.174761562500001</v>
      </c>
      <c r="W27" s="319">
        <f t="shared" si="3"/>
        <v>28.349523125000001</v>
      </c>
      <c r="X27" s="320">
        <f t="shared" si="3"/>
        <v>70.873807812500004</v>
      </c>
      <c r="Y27" s="228" t="s">
        <v>77</v>
      </c>
      <c r="Z27" s="229" t="s">
        <v>77</v>
      </c>
      <c r="AA27" s="229" t="s">
        <v>77</v>
      </c>
      <c r="AB27" s="229" t="s">
        <v>77</v>
      </c>
      <c r="AC27" s="233">
        <f>T27*$H27</f>
        <v>453.59237000000002</v>
      </c>
      <c r="AD27" s="229" t="s">
        <v>77</v>
      </c>
      <c r="AE27" s="233">
        <f t="shared" si="4"/>
        <v>226.79618500000001</v>
      </c>
      <c r="AF27" s="233">
        <f t="shared" si="4"/>
        <v>453.59237000000002</v>
      </c>
      <c r="AG27" s="223">
        <f t="shared" si="4"/>
        <v>1133.9809250000001</v>
      </c>
      <c r="AH27" s="228" t="s">
        <v>77</v>
      </c>
      <c r="AI27" s="229" t="s">
        <v>77</v>
      </c>
      <c r="AJ27" s="229" t="s">
        <v>77</v>
      </c>
      <c r="AK27" s="229" t="s">
        <v>77</v>
      </c>
      <c r="AL27" s="233">
        <f>AC27*$G27</f>
        <v>453.59237000000002</v>
      </c>
      <c r="AM27" s="229" t="s">
        <v>77</v>
      </c>
      <c r="AN27" s="233">
        <f t="shared" si="5"/>
        <v>226.79618500000001</v>
      </c>
      <c r="AO27" s="233">
        <f t="shared" si="5"/>
        <v>453.59237000000002</v>
      </c>
      <c r="AP27" s="223">
        <f t="shared" si="5"/>
        <v>1133.9809250000001</v>
      </c>
      <c r="AQ27" s="125"/>
    </row>
    <row r="28" spans="1:43" ht="52.5" customHeight="1" x14ac:dyDescent="0.25">
      <c r="A28" s="234">
        <v>6</v>
      </c>
      <c r="B28" s="235" t="s">
        <v>35</v>
      </c>
      <c r="C28" s="186" t="s">
        <v>50</v>
      </c>
      <c r="D28" s="187" t="s">
        <v>51</v>
      </c>
      <c r="E28" s="188" t="s">
        <v>57</v>
      </c>
      <c r="F28" s="189" t="s">
        <v>58</v>
      </c>
      <c r="G28" s="190" t="s">
        <v>59</v>
      </c>
      <c r="H28" s="191" t="s">
        <v>60</v>
      </c>
      <c r="I28" s="192" t="s">
        <v>61</v>
      </c>
      <c r="J28" s="193" t="s">
        <v>62</v>
      </c>
      <c r="K28" s="190" t="s">
        <v>63</v>
      </c>
      <c r="L28" s="190" t="s">
        <v>64</v>
      </c>
      <c r="M28" s="316" t="s">
        <v>73</v>
      </c>
      <c r="N28" s="195" t="s">
        <v>87</v>
      </c>
      <c r="O28" s="196" t="s">
        <v>65</v>
      </c>
      <c r="P28" s="197" t="s">
        <v>66</v>
      </c>
      <c r="Q28" s="190" t="s">
        <v>67</v>
      </c>
      <c r="R28" s="190" t="s">
        <v>68</v>
      </c>
      <c r="S28" s="190" t="s">
        <v>69</v>
      </c>
      <c r="T28" s="190" t="s">
        <v>70</v>
      </c>
      <c r="U28" s="190" t="s">
        <v>71</v>
      </c>
      <c r="V28" s="190" t="s">
        <v>74</v>
      </c>
      <c r="W28" s="190" t="s">
        <v>90</v>
      </c>
      <c r="X28" s="191" t="s">
        <v>72</v>
      </c>
      <c r="Y28" s="197" t="s">
        <v>66</v>
      </c>
      <c r="Z28" s="190" t="s">
        <v>67</v>
      </c>
      <c r="AA28" s="190" t="s">
        <v>68</v>
      </c>
      <c r="AB28" s="190" t="s">
        <v>69</v>
      </c>
      <c r="AC28" s="190" t="s">
        <v>70</v>
      </c>
      <c r="AD28" s="190" t="s">
        <v>71</v>
      </c>
      <c r="AE28" s="190" t="s">
        <v>74</v>
      </c>
      <c r="AF28" s="190" t="s">
        <v>90</v>
      </c>
      <c r="AG28" s="191" t="s">
        <v>72</v>
      </c>
      <c r="AH28" s="197" t="s">
        <v>66</v>
      </c>
      <c r="AI28" s="190" t="s">
        <v>67</v>
      </c>
      <c r="AJ28" s="190" t="s">
        <v>68</v>
      </c>
      <c r="AK28" s="190" t="s">
        <v>69</v>
      </c>
      <c r="AL28" s="190" t="s">
        <v>70</v>
      </c>
      <c r="AM28" s="190" t="s">
        <v>71</v>
      </c>
      <c r="AN28" s="190" t="s">
        <v>75</v>
      </c>
      <c r="AO28" s="190" t="s">
        <v>90</v>
      </c>
      <c r="AP28" s="191" t="s">
        <v>72</v>
      </c>
      <c r="AQ28" s="125"/>
    </row>
    <row r="29" spans="1:43" ht="105" customHeight="1" x14ac:dyDescent="0.25">
      <c r="A29" s="254"/>
      <c r="B29" s="255"/>
      <c r="C29" s="286" t="s">
        <v>76</v>
      </c>
      <c r="D29" s="287" t="s">
        <v>20</v>
      </c>
      <c r="E29" s="202">
        <v>2</v>
      </c>
      <c r="F29" s="203">
        <f>$D$4*E29</f>
        <v>90718.474000000002</v>
      </c>
      <c r="G29" s="202">
        <f>'Release Days and Sites'!K11</f>
        <v>2</v>
      </c>
      <c r="H29" s="257">
        <f>'Release Days and Sites'!D11</f>
        <v>300</v>
      </c>
      <c r="I29" s="256"/>
      <c r="J29" s="207"/>
      <c r="K29" s="207"/>
      <c r="L29" s="207"/>
      <c r="M29" s="207">
        <f>'Releases_Exp. Scen. 6 and 8'!H14</f>
        <v>5.0561797752808988E-5</v>
      </c>
      <c r="N29" s="321">
        <f>'Releases_Exp. Scen. 6 and 8'!H15</f>
        <v>0.01</v>
      </c>
      <c r="O29" s="322"/>
      <c r="P29" s="209" t="s">
        <v>77</v>
      </c>
      <c r="Q29" s="210" t="s">
        <v>77</v>
      </c>
      <c r="R29" s="210" t="s">
        <v>77</v>
      </c>
      <c r="S29" s="210" t="s">
        <v>77</v>
      </c>
      <c r="T29" s="210" t="s">
        <v>77</v>
      </c>
      <c r="U29" s="210" t="s">
        <v>77</v>
      </c>
      <c r="V29" s="207">
        <f t="shared" ref="V29:W32" si="6">$F29/$G29*M29/$H29</f>
        <v>7.6448152247191011E-3</v>
      </c>
      <c r="W29" s="207">
        <f t="shared" si="6"/>
        <v>1.5119745666666666</v>
      </c>
      <c r="X29" s="213" t="s">
        <v>77</v>
      </c>
      <c r="Y29" s="209" t="s">
        <v>77</v>
      </c>
      <c r="Z29" s="210" t="s">
        <v>77</v>
      </c>
      <c r="AA29" s="210" t="s">
        <v>77</v>
      </c>
      <c r="AB29" s="210" t="s">
        <v>77</v>
      </c>
      <c r="AC29" s="210" t="s">
        <v>77</v>
      </c>
      <c r="AD29" s="210" t="s">
        <v>77</v>
      </c>
      <c r="AE29" s="211">
        <f t="shared" ref="AE29:AF32" si="7">V29*$H29</f>
        <v>2.2934445674157304</v>
      </c>
      <c r="AF29" s="211">
        <f t="shared" si="7"/>
        <v>453.59237000000002</v>
      </c>
      <c r="AG29" s="213" t="s">
        <v>77</v>
      </c>
      <c r="AH29" s="209" t="s">
        <v>77</v>
      </c>
      <c r="AI29" s="210" t="s">
        <v>77</v>
      </c>
      <c r="AJ29" s="210" t="s">
        <v>77</v>
      </c>
      <c r="AK29" s="210" t="s">
        <v>77</v>
      </c>
      <c r="AL29" s="210" t="s">
        <v>77</v>
      </c>
      <c r="AM29" s="210" t="s">
        <v>77</v>
      </c>
      <c r="AN29" s="211">
        <f t="shared" ref="AN29:AO32" si="8">AE29*$G29</f>
        <v>4.5868891348314609</v>
      </c>
      <c r="AO29" s="211">
        <f t="shared" si="8"/>
        <v>907.18474000000003</v>
      </c>
      <c r="AP29" s="213" t="s">
        <v>77</v>
      </c>
      <c r="AQ29" s="125"/>
    </row>
    <row r="30" spans="1:43" x14ac:dyDescent="0.25">
      <c r="A30" s="254"/>
      <c r="B30" s="255"/>
      <c r="C30" s="286"/>
      <c r="D30" s="287"/>
      <c r="E30" s="202">
        <v>2</v>
      </c>
      <c r="F30" s="203">
        <f>$D$4*E30</f>
        <v>90718.474000000002</v>
      </c>
      <c r="G30" s="202">
        <f>'Release Days and Sites'!J11</f>
        <v>2</v>
      </c>
      <c r="H30" s="257">
        <f>'Release Days and Sites'!C11</f>
        <v>16</v>
      </c>
      <c r="I30" s="256"/>
      <c r="J30" s="207"/>
      <c r="K30" s="207"/>
      <c r="L30" s="207"/>
      <c r="M30" s="207">
        <f>'Releases_Exp. Scen. 6 and 8'!H14</f>
        <v>5.0561797752808988E-5</v>
      </c>
      <c r="N30" s="321">
        <f>'Releases_Exp. Scen. 6 and 8'!H15</f>
        <v>0.01</v>
      </c>
      <c r="O30" s="322"/>
      <c r="P30" s="209" t="s">
        <v>77</v>
      </c>
      <c r="Q30" s="210" t="s">
        <v>77</v>
      </c>
      <c r="R30" s="210" t="s">
        <v>77</v>
      </c>
      <c r="S30" s="210" t="s">
        <v>77</v>
      </c>
      <c r="T30" s="210" t="s">
        <v>77</v>
      </c>
      <c r="U30" s="210" t="s">
        <v>77</v>
      </c>
      <c r="V30" s="207">
        <f t="shared" si="6"/>
        <v>0.14334028546348315</v>
      </c>
      <c r="W30" s="207">
        <f t="shared" si="6"/>
        <v>28.349523125000001</v>
      </c>
      <c r="X30" s="213" t="s">
        <v>77</v>
      </c>
      <c r="Y30" s="209" t="s">
        <v>77</v>
      </c>
      <c r="Z30" s="210" t="s">
        <v>77</v>
      </c>
      <c r="AA30" s="210" t="s">
        <v>77</v>
      </c>
      <c r="AB30" s="210" t="s">
        <v>77</v>
      </c>
      <c r="AC30" s="210" t="s">
        <v>77</v>
      </c>
      <c r="AD30" s="210" t="s">
        <v>77</v>
      </c>
      <c r="AE30" s="211">
        <f t="shared" si="7"/>
        <v>2.2934445674157304</v>
      </c>
      <c r="AF30" s="211">
        <f t="shared" si="7"/>
        <v>453.59237000000002</v>
      </c>
      <c r="AG30" s="213" t="s">
        <v>77</v>
      </c>
      <c r="AH30" s="209" t="s">
        <v>77</v>
      </c>
      <c r="AI30" s="210" t="s">
        <v>77</v>
      </c>
      <c r="AJ30" s="210" t="s">
        <v>77</v>
      </c>
      <c r="AK30" s="210" t="s">
        <v>77</v>
      </c>
      <c r="AL30" s="210" t="s">
        <v>77</v>
      </c>
      <c r="AM30" s="210" t="s">
        <v>77</v>
      </c>
      <c r="AN30" s="211">
        <f t="shared" si="8"/>
        <v>4.5868891348314609</v>
      </c>
      <c r="AO30" s="211">
        <f t="shared" si="8"/>
        <v>907.18474000000003</v>
      </c>
      <c r="AP30" s="213" t="s">
        <v>77</v>
      </c>
      <c r="AQ30" s="125"/>
    </row>
    <row r="31" spans="1:43" ht="90.75" customHeight="1" x14ac:dyDescent="0.25">
      <c r="A31" s="254"/>
      <c r="B31" s="255"/>
      <c r="C31" s="286" t="s">
        <v>78</v>
      </c>
      <c r="D31" s="287"/>
      <c r="E31" s="202">
        <v>2</v>
      </c>
      <c r="F31" s="203">
        <f>$D$4*E31</f>
        <v>90718.474000000002</v>
      </c>
      <c r="G31" s="202">
        <f>'Release Days and Sites'!K11</f>
        <v>2</v>
      </c>
      <c r="H31" s="257">
        <f>'Release Days and Sites'!D11</f>
        <v>300</v>
      </c>
      <c r="I31" s="256"/>
      <c r="J31" s="207"/>
      <c r="K31" s="207"/>
      <c r="L31" s="207"/>
      <c r="M31" s="207">
        <f>'Releases_Exp. Scen. 6 and 8'!I14</f>
        <v>2.2500000000000002E-4</v>
      </c>
      <c r="N31" s="321">
        <f>'Releases_Exp. Scen. 6 and 8'!I15</f>
        <v>2.5000000000000001E-2</v>
      </c>
      <c r="O31" s="323"/>
      <c r="P31" s="209" t="s">
        <v>77</v>
      </c>
      <c r="Q31" s="210" t="s">
        <v>77</v>
      </c>
      <c r="R31" s="210" t="s">
        <v>77</v>
      </c>
      <c r="S31" s="210" t="s">
        <v>77</v>
      </c>
      <c r="T31" s="210" t="s">
        <v>77</v>
      </c>
      <c r="U31" s="210" t="s">
        <v>77</v>
      </c>
      <c r="V31" s="207">
        <f t="shared" si="6"/>
        <v>3.4019427750000004E-2</v>
      </c>
      <c r="W31" s="207">
        <f t="shared" si="6"/>
        <v>3.7799364166666667</v>
      </c>
      <c r="X31" s="213" t="s">
        <v>77</v>
      </c>
      <c r="Y31" s="209" t="s">
        <v>77</v>
      </c>
      <c r="Z31" s="210" t="s">
        <v>77</v>
      </c>
      <c r="AA31" s="210" t="s">
        <v>77</v>
      </c>
      <c r="AB31" s="210" t="s">
        <v>77</v>
      </c>
      <c r="AC31" s="210" t="s">
        <v>77</v>
      </c>
      <c r="AD31" s="210" t="s">
        <v>77</v>
      </c>
      <c r="AE31" s="211">
        <f t="shared" si="7"/>
        <v>10.205828325000001</v>
      </c>
      <c r="AF31" s="211">
        <f t="shared" si="7"/>
        <v>1133.9809250000001</v>
      </c>
      <c r="AG31" s="213" t="s">
        <v>77</v>
      </c>
      <c r="AH31" s="209" t="s">
        <v>77</v>
      </c>
      <c r="AI31" s="210" t="s">
        <v>77</v>
      </c>
      <c r="AJ31" s="210" t="s">
        <v>77</v>
      </c>
      <c r="AK31" s="210" t="s">
        <v>77</v>
      </c>
      <c r="AL31" s="210" t="s">
        <v>77</v>
      </c>
      <c r="AM31" s="210" t="s">
        <v>77</v>
      </c>
      <c r="AN31" s="317">
        <f t="shared" si="8"/>
        <v>20.411656650000001</v>
      </c>
      <c r="AO31" s="317">
        <f t="shared" si="8"/>
        <v>2267.9618500000001</v>
      </c>
      <c r="AP31" s="213" t="s">
        <v>77</v>
      </c>
      <c r="AQ31" s="125"/>
    </row>
    <row r="32" spans="1:43" ht="15.75" thickBot="1" x14ac:dyDescent="0.3">
      <c r="A32" s="269"/>
      <c r="B32" s="270"/>
      <c r="C32" s="295"/>
      <c r="D32" s="296"/>
      <c r="E32" s="221">
        <v>2</v>
      </c>
      <c r="F32" s="222">
        <f>$D$4*E32</f>
        <v>90718.474000000002</v>
      </c>
      <c r="G32" s="221">
        <f>'Release Days and Sites'!J11</f>
        <v>2</v>
      </c>
      <c r="H32" s="272">
        <f>'Release Days and Sites'!C11</f>
        <v>16</v>
      </c>
      <c r="I32" s="271"/>
      <c r="J32" s="226"/>
      <c r="K32" s="226"/>
      <c r="L32" s="226"/>
      <c r="M32" s="226">
        <f>'Releases_Exp. Scen. 6 and 8'!I14</f>
        <v>2.2500000000000002E-4</v>
      </c>
      <c r="N32" s="324">
        <f>'Releases_Exp. Scen. 6 and 8'!I15</f>
        <v>2.5000000000000001E-2</v>
      </c>
      <c r="O32" s="325"/>
      <c r="P32" s="228" t="s">
        <v>77</v>
      </c>
      <c r="Q32" s="229" t="s">
        <v>77</v>
      </c>
      <c r="R32" s="229" t="s">
        <v>77</v>
      </c>
      <c r="S32" s="229" t="s">
        <v>77</v>
      </c>
      <c r="T32" s="229" t="s">
        <v>77</v>
      </c>
      <c r="U32" s="229" t="s">
        <v>77</v>
      </c>
      <c r="V32" s="226">
        <f t="shared" si="6"/>
        <v>0.63786427031250004</v>
      </c>
      <c r="W32" s="226">
        <f t="shared" si="6"/>
        <v>70.873807812500004</v>
      </c>
      <c r="X32" s="232" t="s">
        <v>77</v>
      </c>
      <c r="Y32" s="228" t="s">
        <v>77</v>
      </c>
      <c r="Z32" s="229" t="s">
        <v>77</v>
      </c>
      <c r="AA32" s="229" t="s">
        <v>77</v>
      </c>
      <c r="AB32" s="229" t="s">
        <v>77</v>
      </c>
      <c r="AC32" s="229" t="s">
        <v>77</v>
      </c>
      <c r="AD32" s="229" t="s">
        <v>77</v>
      </c>
      <c r="AE32" s="230">
        <f t="shared" si="7"/>
        <v>10.205828325000001</v>
      </c>
      <c r="AF32" s="230">
        <f t="shared" si="7"/>
        <v>1133.9809250000001</v>
      </c>
      <c r="AG32" s="232" t="s">
        <v>77</v>
      </c>
      <c r="AH32" s="228" t="s">
        <v>77</v>
      </c>
      <c r="AI32" s="229" t="s">
        <v>77</v>
      </c>
      <c r="AJ32" s="229" t="s">
        <v>77</v>
      </c>
      <c r="AK32" s="229" t="s">
        <v>77</v>
      </c>
      <c r="AL32" s="229" t="s">
        <v>77</v>
      </c>
      <c r="AM32" s="229" t="s">
        <v>77</v>
      </c>
      <c r="AN32" s="319">
        <f t="shared" si="8"/>
        <v>20.411656650000001</v>
      </c>
      <c r="AO32" s="319">
        <f t="shared" si="8"/>
        <v>2267.9618500000001</v>
      </c>
      <c r="AP32" s="232" t="s">
        <v>77</v>
      </c>
      <c r="AQ32" s="125"/>
    </row>
    <row r="33" spans="1:43" s="129" customFormat="1" ht="30.75" thickBot="1" x14ac:dyDescent="0.3">
      <c r="A33" s="326">
        <v>7</v>
      </c>
      <c r="B33" s="327" t="s">
        <v>36</v>
      </c>
      <c r="C33" s="328" t="s">
        <v>91</v>
      </c>
      <c r="D33" s="329"/>
      <c r="E33" s="329"/>
      <c r="F33" s="329"/>
      <c r="G33" s="329"/>
      <c r="H33" s="330"/>
      <c r="I33" s="331" t="s">
        <v>91</v>
      </c>
      <c r="J33" s="332"/>
      <c r="K33" s="332"/>
      <c r="L33" s="332"/>
      <c r="M33" s="332"/>
      <c r="N33" s="332"/>
      <c r="O33" s="333"/>
      <c r="P33" s="334" t="s">
        <v>91</v>
      </c>
      <c r="Q33" s="335"/>
      <c r="R33" s="335"/>
      <c r="S33" s="335"/>
      <c r="T33" s="335"/>
      <c r="U33" s="335"/>
      <c r="V33" s="335"/>
      <c r="W33" s="335"/>
      <c r="X33" s="336"/>
      <c r="Y33" s="334" t="s">
        <v>91</v>
      </c>
      <c r="Z33" s="335"/>
      <c r="AA33" s="335"/>
      <c r="AB33" s="335"/>
      <c r="AC33" s="335"/>
      <c r="AD33" s="335"/>
      <c r="AE33" s="335"/>
      <c r="AF33" s="335"/>
      <c r="AG33" s="336"/>
      <c r="AH33" s="334" t="s">
        <v>91</v>
      </c>
      <c r="AI33" s="335"/>
      <c r="AJ33" s="335"/>
      <c r="AK33" s="335"/>
      <c r="AL33" s="335"/>
      <c r="AM33" s="335"/>
      <c r="AN33" s="335"/>
      <c r="AO33" s="335"/>
      <c r="AP33" s="336"/>
    </row>
    <row r="34" spans="1:43" s="337" customFormat="1" ht="29.25" x14ac:dyDescent="0.25">
      <c r="A34" s="234">
        <v>8</v>
      </c>
      <c r="B34" s="235" t="s">
        <v>37</v>
      </c>
      <c r="C34" s="186" t="s">
        <v>50</v>
      </c>
      <c r="D34" s="187" t="s">
        <v>51</v>
      </c>
      <c r="E34" s="188" t="s">
        <v>57</v>
      </c>
      <c r="F34" s="189" t="s">
        <v>58</v>
      </c>
      <c r="G34" s="190" t="s">
        <v>59</v>
      </c>
      <c r="H34" s="191" t="s">
        <v>60</v>
      </c>
      <c r="I34" s="192" t="s">
        <v>61</v>
      </c>
      <c r="J34" s="193" t="s">
        <v>62</v>
      </c>
      <c r="K34" s="190" t="s">
        <v>63</v>
      </c>
      <c r="L34" s="190" t="s">
        <v>64</v>
      </c>
      <c r="M34" s="193" t="s">
        <v>92</v>
      </c>
      <c r="N34" s="195" t="s">
        <v>87</v>
      </c>
      <c r="O34" s="196" t="s">
        <v>65</v>
      </c>
      <c r="P34" s="197" t="s">
        <v>66</v>
      </c>
      <c r="Q34" s="190" t="s">
        <v>67</v>
      </c>
      <c r="R34" s="190" t="s">
        <v>68</v>
      </c>
      <c r="S34" s="190" t="s">
        <v>69</v>
      </c>
      <c r="T34" s="190" t="s">
        <v>70</v>
      </c>
      <c r="U34" s="190" t="s">
        <v>71</v>
      </c>
      <c r="V34" s="190" t="s">
        <v>93</v>
      </c>
      <c r="W34" s="190" t="s">
        <v>90</v>
      </c>
      <c r="X34" s="191" t="s">
        <v>72</v>
      </c>
      <c r="Y34" s="197" t="s">
        <v>66</v>
      </c>
      <c r="Z34" s="190" t="s">
        <v>67</v>
      </c>
      <c r="AA34" s="190" t="s">
        <v>68</v>
      </c>
      <c r="AB34" s="190" t="s">
        <v>69</v>
      </c>
      <c r="AC34" s="190" t="s">
        <v>70</v>
      </c>
      <c r="AD34" s="190" t="s">
        <v>71</v>
      </c>
      <c r="AE34" s="190" t="s">
        <v>93</v>
      </c>
      <c r="AF34" s="190" t="s">
        <v>90</v>
      </c>
      <c r="AG34" s="191" t="s">
        <v>72</v>
      </c>
      <c r="AH34" s="197" t="s">
        <v>66</v>
      </c>
      <c r="AI34" s="190" t="s">
        <v>67</v>
      </c>
      <c r="AJ34" s="190" t="s">
        <v>68</v>
      </c>
      <c r="AK34" s="190" t="s">
        <v>69</v>
      </c>
      <c r="AL34" s="190" t="s">
        <v>70</v>
      </c>
      <c r="AM34" s="190" t="s">
        <v>71</v>
      </c>
      <c r="AN34" s="190" t="s">
        <v>93</v>
      </c>
      <c r="AO34" s="190" t="s">
        <v>90</v>
      </c>
      <c r="AP34" s="191" t="s">
        <v>72</v>
      </c>
    </row>
    <row r="35" spans="1:43" ht="105" customHeight="1" x14ac:dyDescent="0.25">
      <c r="A35" s="254"/>
      <c r="B35" s="255"/>
      <c r="C35" s="338" t="s">
        <v>94</v>
      </c>
      <c r="D35" s="287" t="s">
        <v>20</v>
      </c>
      <c r="E35" s="339">
        <v>1</v>
      </c>
      <c r="F35" s="340">
        <f>$D$4*E35</f>
        <v>45359.237000000001</v>
      </c>
      <c r="G35" s="203">
        <f>'Release Days and Sites'!J13</f>
        <v>34</v>
      </c>
      <c r="H35" s="257">
        <f>'Release Days and Sites'!D13</f>
        <v>3</v>
      </c>
      <c r="I35" s="256"/>
      <c r="J35" s="207"/>
      <c r="K35" s="202"/>
      <c r="L35" s="202"/>
      <c r="M35" s="207">
        <f>'Releases_Exp. Scen. 6 and 8'!H14</f>
        <v>5.0561797752808988E-5</v>
      </c>
      <c r="N35" s="321">
        <f>'Releases_Exp. Scen. 6 and 8'!H15</f>
        <v>0.01</v>
      </c>
      <c r="O35" s="322"/>
      <c r="P35" s="209" t="s">
        <v>77</v>
      </c>
      <c r="Q35" s="210" t="s">
        <v>77</v>
      </c>
      <c r="R35" s="210" t="s">
        <v>77</v>
      </c>
      <c r="S35" s="210" t="s">
        <v>77</v>
      </c>
      <c r="T35" s="210" t="s">
        <v>77</v>
      </c>
      <c r="U35" s="210" t="s">
        <v>77</v>
      </c>
      <c r="V35" s="207">
        <f t="shared" ref="V35:W38" si="9">$F35/$G35*M35/$H35</f>
        <v>2.2484750660938534E-2</v>
      </c>
      <c r="W35" s="207">
        <f t="shared" si="9"/>
        <v>4.4469840196078438</v>
      </c>
      <c r="X35" s="213" t="s">
        <v>77</v>
      </c>
      <c r="Y35" s="209" t="s">
        <v>77</v>
      </c>
      <c r="Z35" s="210" t="s">
        <v>77</v>
      </c>
      <c r="AA35" s="210" t="s">
        <v>77</v>
      </c>
      <c r="AB35" s="210" t="s">
        <v>77</v>
      </c>
      <c r="AC35" s="210" t="s">
        <v>77</v>
      </c>
      <c r="AD35" s="210" t="s">
        <v>77</v>
      </c>
      <c r="AE35" s="207">
        <f t="shared" ref="AE35:AF38" si="10">V35*$H35</f>
        <v>6.74542519828156E-2</v>
      </c>
      <c r="AF35" s="211">
        <f t="shared" si="10"/>
        <v>13.340952058823532</v>
      </c>
      <c r="AG35" s="213" t="s">
        <v>77</v>
      </c>
      <c r="AH35" s="209" t="s">
        <v>77</v>
      </c>
      <c r="AI35" s="210" t="s">
        <v>77</v>
      </c>
      <c r="AJ35" s="210" t="s">
        <v>77</v>
      </c>
      <c r="AK35" s="210" t="s">
        <v>77</v>
      </c>
      <c r="AL35" s="210" t="s">
        <v>77</v>
      </c>
      <c r="AM35" s="210" t="s">
        <v>77</v>
      </c>
      <c r="AN35" s="211">
        <f t="shared" ref="AN35:AO38" si="11">AE35*$G35</f>
        <v>2.2934445674157304</v>
      </c>
      <c r="AO35" s="211">
        <f t="shared" si="11"/>
        <v>453.59237000000007</v>
      </c>
      <c r="AP35" s="213" t="s">
        <v>77</v>
      </c>
      <c r="AQ35" s="125"/>
    </row>
    <row r="36" spans="1:43" ht="30" x14ac:dyDescent="0.25">
      <c r="A36" s="254"/>
      <c r="B36" s="255"/>
      <c r="C36" s="338" t="s">
        <v>95</v>
      </c>
      <c r="D36" s="287"/>
      <c r="E36" s="339">
        <v>1</v>
      </c>
      <c r="F36" s="340">
        <f>$D$4*E36</f>
        <v>45359.237000000001</v>
      </c>
      <c r="G36" s="203">
        <f>'Release Days and Sites'!K13</f>
        <v>2696</v>
      </c>
      <c r="H36" s="257">
        <f>'Release Days and Sites'!C13</f>
        <v>1</v>
      </c>
      <c r="I36" s="256"/>
      <c r="J36" s="207"/>
      <c r="K36" s="202"/>
      <c r="L36" s="202"/>
      <c r="M36" s="207">
        <f>'Releases_Exp. Scen. 6 and 8'!H14</f>
        <v>5.0561797752808988E-5</v>
      </c>
      <c r="N36" s="321">
        <f>'Releases_Exp. Scen. 6 and 8'!H15</f>
        <v>0.01</v>
      </c>
      <c r="O36" s="341"/>
      <c r="P36" s="209" t="s">
        <v>77</v>
      </c>
      <c r="Q36" s="210" t="s">
        <v>77</v>
      </c>
      <c r="R36" s="210" t="s">
        <v>77</v>
      </c>
      <c r="S36" s="210" t="s">
        <v>77</v>
      </c>
      <c r="T36" s="210" t="s">
        <v>77</v>
      </c>
      <c r="U36" s="210" t="s">
        <v>77</v>
      </c>
      <c r="V36" s="207">
        <f t="shared" si="9"/>
        <v>8.5068418672690303E-4</v>
      </c>
      <c r="W36" s="207">
        <f t="shared" si="9"/>
        <v>0.16824642804154305</v>
      </c>
      <c r="X36" s="213" t="s">
        <v>77</v>
      </c>
      <c r="Y36" s="209" t="s">
        <v>77</v>
      </c>
      <c r="Z36" s="210" t="s">
        <v>77</v>
      </c>
      <c r="AA36" s="210" t="s">
        <v>77</v>
      </c>
      <c r="AB36" s="210" t="s">
        <v>77</v>
      </c>
      <c r="AC36" s="210" t="s">
        <v>77</v>
      </c>
      <c r="AD36" s="210" t="s">
        <v>77</v>
      </c>
      <c r="AE36" s="207">
        <f t="shared" si="10"/>
        <v>8.5068418672690303E-4</v>
      </c>
      <c r="AF36" s="211">
        <f t="shared" si="10"/>
        <v>0.16824642804154305</v>
      </c>
      <c r="AG36" s="213" t="s">
        <v>77</v>
      </c>
      <c r="AH36" s="209" t="s">
        <v>77</v>
      </c>
      <c r="AI36" s="210" t="s">
        <v>77</v>
      </c>
      <c r="AJ36" s="210" t="s">
        <v>77</v>
      </c>
      <c r="AK36" s="210" t="s">
        <v>77</v>
      </c>
      <c r="AL36" s="210" t="s">
        <v>77</v>
      </c>
      <c r="AM36" s="210" t="s">
        <v>77</v>
      </c>
      <c r="AN36" s="211">
        <f t="shared" si="11"/>
        <v>2.2934445674157304</v>
      </c>
      <c r="AO36" s="211">
        <f t="shared" si="11"/>
        <v>453.59237000000007</v>
      </c>
      <c r="AP36" s="213" t="s">
        <v>77</v>
      </c>
      <c r="AQ36" s="125"/>
    </row>
    <row r="37" spans="1:43" ht="90" customHeight="1" x14ac:dyDescent="0.25">
      <c r="A37" s="254"/>
      <c r="B37" s="255"/>
      <c r="C37" s="338" t="s">
        <v>96</v>
      </c>
      <c r="D37" s="287"/>
      <c r="E37" s="339">
        <v>1</v>
      </c>
      <c r="F37" s="340">
        <f>$D$4*E37</f>
        <v>45359.237000000001</v>
      </c>
      <c r="G37" s="203">
        <f>'Release Days and Sites'!K13</f>
        <v>2696</v>
      </c>
      <c r="H37" s="257">
        <f>'Release Days and Sites'!C13</f>
        <v>1</v>
      </c>
      <c r="I37" s="256"/>
      <c r="J37" s="207"/>
      <c r="K37" s="202"/>
      <c r="L37" s="202"/>
      <c r="M37" s="207">
        <f>'Releases_Exp. Scen. 6 and 8'!I14</f>
        <v>2.2500000000000002E-4</v>
      </c>
      <c r="N37" s="321">
        <f>'Releases_Exp. Scen. 6 and 8'!I15</f>
        <v>2.5000000000000001E-2</v>
      </c>
      <c r="O37" s="341"/>
      <c r="P37" s="209" t="s">
        <v>77</v>
      </c>
      <c r="Q37" s="210" t="s">
        <v>77</v>
      </c>
      <c r="R37" s="210" t="s">
        <v>77</v>
      </c>
      <c r="S37" s="210" t="s">
        <v>77</v>
      </c>
      <c r="T37" s="210" t="s">
        <v>77</v>
      </c>
      <c r="U37" s="210" t="s">
        <v>77</v>
      </c>
      <c r="V37" s="207">
        <f t="shared" si="9"/>
        <v>3.785544630934719E-3</v>
      </c>
      <c r="W37" s="207">
        <f t="shared" si="9"/>
        <v>0.42061607010385765</v>
      </c>
      <c r="X37" s="213" t="s">
        <v>77</v>
      </c>
      <c r="Y37" s="209" t="s">
        <v>77</v>
      </c>
      <c r="Z37" s="210" t="s">
        <v>77</v>
      </c>
      <c r="AA37" s="210" t="s">
        <v>77</v>
      </c>
      <c r="AB37" s="210" t="s">
        <v>77</v>
      </c>
      <c r="AC37" s="210" t="s">
        <v>77</v>
      </c>
      <c r="AD37" s="210" t="s">
        <v>77</v>
      </c>
      <c r="AE37" s="207">
        <f t="shared" si="10"/>
        <v>3.785544630934719E-3</v>
      </c>
      <c r="AF37" s="211">
        <f t="shared" si="10"/>
        <v>0.42061607010385765</v>
      </c>
      <c r="AG37" s="213" t="s">
        <v>77</v>
      </c>
      <c r="AH37" s="209" t="s">
        <v>77</v>
      </c>
      <c r="AI37" s="210" t="s">
        <v>77</v>
      </c>
      <c r="AJ37" s="210" t="s">
        <v>77</v>
      </c>
      <c r="AK37" s="210" t="s">
        <v>77</v>
      </c>
      <c r="AL37" s="210" t="s">
        <v>77</v>
      </c>
      <c r="AM37" s="210" t="s">
        <v>77</v>
      </c>
      <c r="AN37" s="211">
        <f>AE37*$G37</f>
        <v>10.205828325000002</v>
      </c>
      <c r="AO37" s="211">
        <f t="shared" si="11"/>
        <v>1133.9809250000003</v>
      </c>
      <c r="AP37" s="213" t="s">
        <v>77</v>
      </c>
      <c r="AQ37" s="125"/>
    </row>
    <row r="38" spans="1:43" ht="30.75" thickBot="1" x14ac:dyDescent="0.3">
      <c r="A38" s="269"/>
      <c r="B38" s="270"/>
      <c r="C38" s="342" t="s">
        <v>97</v>
      </c>
      <c r="D38" s="296"/>
      <c r="E38" s="343">
        <v>1</v>
      </c>
      <c r="F38" s="344">
        <f>$D$4*E38</f>
        <v>45359.237000000001</v>
      </c>
      <c r="G38" s="222">
        <f>'Release Days and Sites'!J13</f>
        <v>34</v>
      </c>
      <c r="H38" s="272">
        <f>'Release Days and Sites'!D13</f>
        <v>3</v>
      </c>
      <c r="I38" s="271"/>
      <c r="J38" s="226"/>
      <c r="K38" s="221"/>
      <c r="L38" s="221"/>
      <c r="M38" s="226">
        <f>'Releases_Exp. Scen. 6 and 8'!I14</f>
        <v>2.2500000000000002E-4</v>
      </c>
      <c r="N38" s="324">
        <f>'Releases_Exp. Scen. 6 and 8'!I15</f>
        <v>2.5000000000000001E-2</v>
      </c>
      <c r="O38" s="325"/>
      <c r="P38" s="228" t="s">
        <v>77</v>
      </c>
      <c r="Q38" s="229" t="s">
        <v>77</v>
      </c>
      <c r="R38" s="229" t="s">
        <v>77</v>
      </c>
      <c r="S38" s="229" t="s">
        <v>77</v>
      </c>
      <c r="T38" s="229" t="s">
        <v>77</v>
      </c>
      <c r="U38" s="229" t="s">
        <v>77</v>
      </c>
      <c r="V38" s="226">
        <f t="shared" si="9"/>
        <v>0.10005714044117647</v>
      </c>
      <c r="W38" s="226">
        <f t="shared" si="9"/>
        <v>11.117460049019607</v>
      </c>
      <c r="X38" s="232" t="s">
        <v>77</v>
      </c>
      <c r="Y38" s="228" t="s">
        <v>77</v>
      </c>
      <c r="Z38" s="229" t="s">
        <v>77</v>
      </c>
      <c r="AA38" s="229" t="s">
        <v>77</v>
      </c>
      <c r="AB38" s="229" t="s">
        <v>77</v>
      </c>
      <c r="AC38" s="229" t="s">
        <v>77</v>
      </c>
      <c r="AD38" s="229" t="s">
        <v>77</v>
      </c>
      <c r="AE38" s="226">
        <f t="shared" si="10"/>
        <v>0.30017142132352942</v>
      </c>
      <c r="AF38" s="230">
        <f t="shared" si="10"/>
        <v>33.352380147058824</v>
      </c>
      <c r="AG38" s="232" t="s">
        <v>77</v>
      </c>
      <c r="AH38" s="228" t="s">
        <v>77</v>
      </c>
      <c r="AI38" s="229" t="s">
        <v>77</v>
      </c>
      <c r="AJ38" s="229" t="s">
        <v>77</v>
      </c>
      <c r="AK38" s="229" t="s">
        <v>77</v>
      </c>
      <c r="AL38" s="229" t="s">
        <v>77</v>
      </c>
      <c r="AM38" s="229" t="s">
        <v>77</v>
      </c>
      <c r="AN38" s="230">
        <f t="shared" si="11"/>
        <v>10.205828325000001</v>
      </c>
      <c r="AO38" s="230">
        <f t="shared" si="11"/>
        <v>1133.9809250000001</v>
      </c>
      <c r="AP38" s="232" t="s">
        <v>77</v>
      </c>
      <c r="AQ38" s="125"/>
    </row>
    <row r="39" spans="1:43" ht="45.75" customHeight="1" thickBot="1" x14ac:dyDescent="0.3">
      <c r="A39" s="234">
        <v>9</v>
      </c>
      <c r="B39" s="235" t="s">
        <v>38</v>
      </c>
      <c r="C39" s="186" t="s">
        <v>50</v>
      </c>
      <c r="D39" s="187" t="s">
        <v>51</v>
      </c>
      <c r="E39" s="188" t="s">
        <v>57</v>
      </c>
      <c r="F39" s="189" t="s">
        <v>58</v>
      </c>
      <c r="G39" s="190" t="s">
        <v>59</v>
      </c>
      <c r="H39" s="191" t="s">
        <v>60</v>
      </c>
      <c r="I39" s="192" t="s">
        <v>61</v>
      </c>
      <c r="J39" s="193" t="s">
        <v>62</v>
      </c>
      <c r="K39" s="190" t="s">
        <v>63</v>
      </c>
      <c r="L39" s="190" t="s">
        <v>64</v>
      </c>
      <c r="M39" s="193" t="s">
        <v>92</v>
      </c>
      <c r="N39" s="195" t="s">
        <v>65</v>
      </c>
      <c r="O39" s="196" t="s">
        <v>65</v>
      </c>
      <c r="P39" s="197" t="s">
        <v>66</v>
      </c>
      <c r="Q39" s="190" t="s">
        <v>67</v>
      </c>
      <c r="R39" s="190" t="s">
        <v>68</v>
      </c>
      <c r="S39" s="190" t="s">
        <v>69</v>
      </c>
      <c r="T39" s="190" t="s">
        <v>70</v>
      </c>
      <c r="U39" s="190" t="s">
        <v>71</v>
      </c>
      <c r="V39" s="190" t="s">
        <v>93</v>
      </c>
      <c r="W39" s="190" t="s">
        <v>72</v>
      </c>
      <c r="X39" s="191" t="s">
        <v>72</v>
      </c>
      <c r="Y39" s="345" t="s">
        <v>66</v>
      </c>
      <c r="Z39" s="346" t="s">
        <v>67</v>
      </c>
      <c r="AA39" s="346" t="s">
        <v>68</v>
      </c>
      <c r="AB39" s="346" t="s">
        <v>69</v>
      </c>
      <c r="AC39" s="346" t="s">
        <v>70</v>
      </c>
      <c r="AD39" s="346" t="s">
        <v>71</v>
      </c>
      <c r="AE39" s="346" t="s">
        <v>93</v>
      </c>
      <c r="AF39" s="346" t="s">
        <v>72</v>
      </c>
      <c r="AG39" s="347" t="s">
        <v>72</v>
      </c>
      <c r="AH39" s="197" t="s">
        <v>66</v>
      </c>
      <c r="AI39" s="190" t="s">
        <v>67</v>
      </c>
      <c r="AJ39" s="190" t="s">
        <v>68</v>
      </c>
      <c r="AK39" s="190" t="s">
        <v>69</v>
      </c>
      <c r="AL39" s="190" t="s">
        <v>70</v>
      </c>
      <c r="AM39" s="190" t="s">
        <v>71</v>
      </c>
      <c r="AN39" s="190" t="s">
        <v>93</v>
      </c>
      <c r="AO39" s="190" t="s">
        <v>72</v>
      </c>
      <c r="AP39" s="191" t="s">
        <v>72</v>
      </c>
      <c r="AQ39" s="125"/>
    </row>
    <row r="40" spans="1:43" ht="108.75" customHeight="1" thickBot="1" x14ac:dyDescent="0.3">
      <c r="A40" s="198"/>
      <c r="B40" s="199"/>
      <c r="C40" s="348" t="s">
        <v>98</v>
      </c>
      <c r="D40" s="349" t="s">
        <v>21</v>
      </c>
      <c r="E40" s="350" t="s">
        <v>99</v>
      </c>
      <c r="F40" s="351">
        <f>CONVERT(100000000,"lbm","g")/1000*0.0101</f>
        <v>458128.29369999998</v>
      </c>
      <c r="G40" s="352">
        <f>G36*(F40/F36)</f>
        <v>27229.599999999999</v>
      </c>
      <c r="H40" s="353">
        <f>'Releases_Exp. Scen. 9'!A20</f>
        <v>1</v>
      </c>
      <c r="I40" s="354"/>
      <c r="J40" s="355"/>
      <c r="K40" s="356">
        <f>'Releases_Exp. Scen. 9'!H14</f>
        <v>0.7</v>
      </c>
      <c r="L40" s="356">
        <f>'Releases_Exp. Scen. 9'!H15</f>
        <v>0.3</v>
      </c>
      <c r="M40" s="355">
        <f>'Releases_Exp. Scen. 9'!H13</f>
        <v>4.4999999999999996E-5</v>
      </c>
      <c r="N40" s="357"/>
      <c r="O40" s="358"/>
      <c r="P40" s="359" t="s">
        <v>77</v>
      </c>
      <c r="Q40" s="359" t="s">
        <v>77</v>
      </c>
      <c r="R40" s="359" t="s">
        <v>77</v>
      </c>
      <c r="S40" s="359" t="s">
        <v>77</v>
      </c>
      <c r="T40" s="360">
        <f t="shared" ref="T40:V41" si="12">$F40/$G40*K40/$H40</f>
        <v>11.777249962908011</v>
      </c>
      <c r="U40" s="360">
        <f t="shared" si="12"/>
        <v>5.0473928412462898</v>
      </c>
      <c r="V40" s="321">
        <f t="shared" si="12"/>
        <v>7.5710892618694348E-4</v>
      </c>
      <c r="W40" s="359" t="s">
        <v>77</v>
      </c>
      <c r="X40" s="361" t="s">
        <v>77</v>
      </c>
      <c r="Y40" s="362" t="s">
        <v>77</v>
      </c>
      <c r="Z40" s="363" t="s">
        <v>77</v>
      </c>
      <c r="AA40" s="363" t="s">
        <v>77</v>
      </c>
      <c r="AB40" s="363" t="s">
        <v>77</v>
      </c>
      <c r="AC40" s="364">
        <f t="shared" ref="AC40:AE41" si="13">T40*$H40</f>
        <v>11.777249962908011</v>
      </c>
      <c r="AD40" s="364">
        <f t="shared" si="13"/>
        <v>5.0473928412462898</v>
      </c>
      <c r="AE40" s="365">
        <f t="shared" si="13"/>
        <v>7.5710892618694348E-4</v>
      </c>
      <c r="AF40" s="363" t="s">
        <v>77</v>
      </c>
      <c r="AG40" s="366" t="s">
        <v>77</v>
      </c>
      <c r="AH40" s="367" t="s">
        <v>77</v>
      </c>
      <c r="AI40" s="359" t="s">
        <v>77</v>
      </c>
      <c r="AJ40" s="359" t="s">
        <v>77</v>
      </c>
      <c r="AK40" s="359" t="s">
        <v>77</v>
      </c>
      <c r="AL40" s="368">
        <f>G40*AC40</f>
        <v>320689.80558999995</v>
      </c>
      <c r="AM40" s="368">
        <f>G40*AD40</f>
        <v>137438.48810999998</v>
      </c>
      <c r="AN40" s="369">
        <f>G40*AE40</f>
        <v>20.615773216499996</v>
      </c>
      <c r="AO40" s="359" t="s">
        <v>77</v>
      </c>
      <c r="AP40" s="370" t="s">
        <v>77</v>
      </c>
      <c r="AQ40" s="125"/>
    </row>
    <row r="41" spans="1:43" s="389" customFormat="1" ht="108.75" customHeight="1" thickBot="1" x14ac:dyDescent="0.3">
      <c r="A41" s="269"/>
      <c r="B41" s="270"/>
      <c r="C41" s="371" t="s">
        <v>100</v>
      </c>
      <c r="D41" s="372"/>
      <c r="E41" s="373"/>
      <c r="F41" s="374">
        <f>CONVERT(100000000,"lbm","g")/1000*0.0101</f>
        <v>458128.29369999998</v>
      </c>
      <c r="G41" s="375">
        <f>G38*(F41/F38)</f>
        <v>343.4</v>
      </c>
      <c r="H41" s="376">
        <f>'Releases_Exp. Scen. 9'!A20</f>
        <v>1</v>
      </c>
      <c r="I41" s="377"/>
      <c r="J41" s="343"/>
      <c r="K41" s="343">
        <f>'Releases_Exp. Scen. 9'!I14</f>
        <v>0.7</v>
      </c>
      <c r="L41" s="343">
        <f>'Releases_Exp. Scen. 9'!I15</f>
        <v>0.3</v>
      </c>
      <c r="M41" s="324">
        <f>'Releases_Exp. Scen. 9'!I13</f>
        <v>5.0561797752808992E-4</v>
      </c>
      <c r="N41" s="343"/>
      <c r="O41" s="378"/>
      <c r="P41" s="379" t="s">
        <v>77</v>
      </c>
      <c r="Q41" s="379" t="s">
        <v>77</v>
      </c>
      <c r="R41" s="379" t="s">
        <v>77</v>
      </c>
      <c r="S41" s="379" t="s">
        <v>77</v>
      </c>
      <c r="T41" s="380">
        <f t="shared" si="12"/>
        <v>933.86664411764696</v>
      </c>
      <c r="U41" s="380">
        <f t="shared" si="12"/>
        <v>400.22856176470589</v>
      </c>
      <c r="V41" s="381">
        <f t="shared" si="12"/>
        <v>0.67454251982815605</v>
      </c>
      <c r="W41" s="379" t="s">
        <v>77</v>
      </c>
      <c r="X41" s="382" t="s">
        <v>77</v>
      </c>
      <c r="Y41" s="383" t="s">
        <v>77</v>
      </c>
      <c r="Z41" s="379" t="s">
        <v>77</v>
      </c>
      <c r="AA41" s="379" t="s">
        <v>77</v>
      </c>
      <c r="AB41" s="379" t="s">
        <v>77</v>
      </c>
      <c r="AC41" s="384">
        <f t="shared" si="13"/>
        <v>933.86664411764696</v>
      </c>
      <c r="AD41" s="384">
        <f t="shared" si="13"/>
        <v>400.22856176470589</v>
      </c>
      <c r="AE41" s="385">
        <f t="shared" si="13"/>
        <v>0.67454251982815605</v>
      </c>
      <c r="AF41" s="379" t="s">
        <v>77</v>
      </c>
      <c r="AG41" s="386" t="s">
        <v>77</v>
      </c>
      <c r="AH41" s="383" t="s">
        <v>77</v>
      </c>
      <c r="AI41" s="379" t="s">
        <v>77</v>
      </c>
      <c r="AJ41" s="379" t="s">
        <v>77</v>
      </c>
      <c r="AK41" s="379" t="s">
        <v>77</v>
      </c>
      <c r="AL41" s="387">
        <f>G41*AC41</f>
        <v>320689.80558999995</v>
      </c>
      <c r="AM41" s="387">
        <f>G41*AD41</f>
        <v>137438.48811000001</v>
      </c>
      <c r="AN41" s="388">
        <f>G41*AE41</f>
        <v>231.63790130898877</v>
      </c>
      <c r="AO41" s="379" t="s">
        <v>77</v>
      </c>
      <c r="AP41" s="386" t="s">
        <v>77</v>
      </c>
    </row>
    <row r="42" spans="1:43" ht="74.25" customHeight="1" x14ac:dyDescent="0.25">
      <c r="A42" s="234">
        <v>10</v>
      </c>
      <c r="B42" s="235" t="s">
        <v>39</v>
      </c>
      <c r="C42" s="186" t="s">
        <v>50</v>
      </c>
      <c r="D42" s="187" t="s">
        <v>51</v>
      </c>
      <c r="E42" s="188" t="s">
        <v>57</v>
      </c>
      <c r="F42" s="189" t="s">
        <v>58</v>
      </c>
      <c r="G42" s="190" t="s">
        <v>59</v>
      </c>
      <c r="H42" s="191" t="s">
        <v>60</v>
      </c>
      <c r="I42" s="192" t="s">
        <v>61</v>
      </c>
      <c r="J42" s="193" t="s">
        <v>62</v>
      </c>
      <c r="K42" s="190" t="s">
        <v>63</v>
      </c>
      <c r="L42" s="190" t="s">
        <v>64</v>
      </c>
      <c r="M42" s="316" t="s">
        <v>73</v>
      </c>
      <c r="N42" s="316" t="s">
        <v>86</v>
      </c>
      <c r="O42" s="196" t="s">
        <v>65</v>
      </c>
      <c r="P42" s="197" t="s">
        <v>66</v>
      </c>
      <c r="Q42" s="190" t="s">
        <v>67</v>
      </c>
      <c r="R42" s="190" t="s">
        <v>68</v>
      </c>
      <c r="S42" s="190" t="s">
        <v>69</v>
      </c>
      <c r="T42" s="190" t="s">
        <v>70</v>
      </c>
      <c r="U42" s="190" t="s">
        <v>71</v>
      </c>
      <c r="V42" s="190" t="s">
        <v>74</v>
      </c>
      <c r="W42" s="190" t="s">
        <v>88</v>
      </c>
      <c r="X42" s="196" t="s">
        <v>72</v>
      </c>
      <c r="Y42" s="197" t="s">
        <v>66</v>
      </c>
      <c r="Z42" s="190" t="s">
        <v>67</v>
      </c>
      <c r="AA42" s="190" t="s">
        <v>68</v>
      </c>
      <c r="AB42" s="190" t="s">
        <v>69</v>
      </c>
      <c r="AC42" s="190" t="s">
        <v>70</v>
      </c>
      <c r="AD42" s="190" t="s">
        <v>71</v>
      </c>
      <c r="AE42" s="190" t="s">
        <v>74</v>
      </c>
      <c r="AF42" s="190" t="s">
        <v>88</v>
      </c>
      <c r="AG42" s="191" t="s">
        <v>72</v>
      </c>
      <c r="AH42" s="197" t="s">
        <v>66</v>
      </c>
      <c r="AI42" s="190" t="s">
        <v>67</v>
      </c>
      <c r="AJ42" s="190" t="s">
        <v>68</v>
      </c>
      <c r="AK42" s="190" t="s">
        <v>69</v>
      </c>
      <c r="AL42" s="190" t="s">
        <v>70</v>
      </c>
      <c r="AM42" s="190" t="s">
        <v>71</v>
      </c>
      <c r="AN42" s="190" t="s">
        <v>75</v>
      </c>
      <c r="AO42" s="190" t="s">
        <v>88</v>
      </c>
      <c r="AP42" s="191" t="s">
        <v>72</v>
      </c>
      <c r="AQ42" s="125"/>
    </row>
    <row r="43" spans="1:43" ht="79.5" customHeight="1" x14ac:dyDescent="0.25">
      <c r="A43" s="254"/>
      <c r="B43" s="255"/>
      <c r="C43" s="286" t="s">
        <v>76</v>
      </c>
      <c r="D43" s="287" t="s">
        <v>19</v>
      </c>
      <c r="E43" s="390" t="s">
        <v>101</v>
      </c>
      <c r="F43" s="391">
        <f>CONVERT(140,"lbm","g")/1000</f>
        <v>63.502931800000006</v>
      </c>
      <c r="G43" s="202">
        <f>'Release Days and Sites'!K15</f>
        <v>2</v>
      </c>
      <c r="H43" s="204">
        <f>'Release Days and Sites'!D15</f>
        <v>140</v>
      </c>
      <c r="I43" s="256"/>
      <c r="J43" s="207"/>
      <c r="K43" s="207"/>
      <c r="L43" s="202"/>
      <c r="M43" s="207">
        <f>'Releases_Exp. Scen. 5 and 10'!L7</f>
        <v>1E-3</v>
      </c>
      <c r="N43" s="207">
        <f>'Releases_Exp. Scen. 5 and 10'!L6</f>
        <v>0.02</v>
      </c>
      <c r="O43" s="208"/>
      <c r="P43" s="392"/>
      <c r="Q43" s="207"/>
      <c r="R43" s="202"/>
      <c r="S43" s="207"/>
      <c r="T43" s="207"/>
      <c r="U43" s="202"/>
      <c r="V43" s="207">
        <f t="shared" ref="V43:W46" si="14">$F43/$G43*M43/$H43</f>
        <v>2.2679618500000002E-4</v>
      </c>
      <c r="W43" s="207">
        <f t="shared" si="14"/>
        <v>4.5359237000000005E-3</v>
      </c>
      <c r="X43" s="208"/>
      <c r="Y43" s="392"/>
      <c r="Z43" s="212"/>
      <c r="AA43" s="202"/>
      <c r="AB43" s="212"/>
      <c r="AC43" s="393"/>
      <c r="AD43" s="202"/>
      <c r="AE43" s="207">
        <f t="shared" ref="AE43:AF46" si="15">V43*$H43</f>
        <v>3.1751465900000005E-2</v>
      </c>
      <c r="AF43" s="393">
        <f t="shared" si="15"/>
        <v>0.63502931800000006</v>
      </c>
      <c r="AG43" s="213" t="s">
        <v>77</v>
      </c>
      <c r="AH43" s="209" t="s">
        <v>77</v>
      </c>
      <c r="AI43" s="210" t="s">
        <v>77</v>
      </c>
      <c r="AJ43" s="210" t="s">
        <v>77</v>
      </c>
      <c r="AK43" s="210" t="s">
        <v>77</v>
      </c>
      <c r="AL43" s="210" t="s">
        <v>77</v>
      </c>
      <c r="AM43" s="210" t="s">
        <v>77</v>
      </c>
      <c r="AN43" s="394">
        <f t="shared" ref="AN43:AO46" si="16">AE43*$G43</f>
        <v>6.3502931800000009E-2</v>
      </c>
      <c r="AO43" s="395">
        <f t="shared" si="16"/>
        <v>1.2700586360000001</v>
      </c>
      <c r="AP43" s="213" t="s">
        <v>77</v>
      </c>
      <c r="AQ43" s="125"/>
    </row>
    <row r="44" spans="1:43" x14ac:dyDescent="0.25">
      <c r="A44" s="254"/>
      <c r="B44" s="255"/>
      <c r="C44" s="286"/>
      <c r="D44" s="287"/>
      <c r="E44" s="390"/>
      <c r="F44" s="391">
        <f>CONVERT(140,"lbm","g")/1000</f>
        <v>63.502931800000006</v>
      </c>
      <c r="G44" s="202">
        <f>'Release Days and Sites'!J15</f>
        <v>2</v>
      </c>
      <c r="H44" s="204">
        <f>'Release Days and Sites'!C15</f>
        <v>1</v>
      </c>
      <c r="I44" s="256"/>
      <c r="J44" s="207"/>
      <c r="K44" s="207"/>
      <c r="L44" s="202"/>
      <c r="M44" s="207">
        <f>'Releases_Exp. Scen. 5 and 10'!L7</f>
        <v>1E-3</v>
      </c>
      <c r="N44" s="207">
        <f>'Releases_Exp. Scen. 5 and 10'!L6</f>
        <v>0.02</v>
      </c>
      <c r="O44" s="208"/>
      <c r="P44" s="392"/>
      <c r="Q44" s="207"/>
      <c r="R44" s="202"/>
      <c r="S44" s="393"/>
      <c r="T44" s="393"/>
      <c r="U44" s="202"/>
      <c r="V44" s="207">
        <f t="shared" si="14"/>
        <v>3.1751465900000005E-2</v>
      </c>
      <c r="W44" s="393">
        <f t="shared" si="14"/>
        <v>0.63502931800000006</v>
      </c>
      <c r="X44" s="396"/>
      <c r="Y44" s="392"/>
      <c r="Z44" s="212"/>
      <c r="AA44" s="202"/>
      <c r="AB44" s="212"/>
      <c r="AC44" s="393"/>
      <c r="AD44" s="202"/>
      <c r="AE44" s="207">
        <f t="shared" si="15"/>
        <v>3.1751465900000005E-2</v>
      </c>
      <c r="AF44" s="393">
        <f t="shared" si="15"/>
        <v>0.63502931800000006</v>
      </c>
      <c r="AG44" s="213" t="s">
        <v>77</v>
      </c>
      <c r="AH44" s="209" t="s">
        <v>77</v>
      </c>
      <c r="AI44" s="210" t="s">
        <v>77</v>
      </c>
      <c r="AJ44" s="210" t="s">
        <v>77</v>
      </c>
      <c r="AK44" s="210" t="s">
        <v>77</v>
      </c>
      <c r="AL44" s="210" t="s">
        <v>77</v>
      </c>
      <c r="AM44" s="210" t="s">
        <v>77</v>
      </c>
      <c r="AN44" s="394">
        <f t="shared" si="16"/>
        <v>6.3502931800000009E-2</v>
      </c>
      <c r="AO44" s="395">
        <f t="shared" si="16"/>
        <v>1.2700586360000001</v>
      </c>
      <c r="AP44" s="213" t="s">
        <v>77</v>
      </c>
      <c r="AQ44" s="125"/>
    </row>
    <row r="45" spans="1:43" ht="52.5" customHeight="1" x14ac:dyDescent="0.25">
      <c r="A45" s="254"/>
      <c r="B45" s="255"/>
      <c r="C45" s="286" t="s">
        <v>78</v>
      </c>
      <c r="D45" s="287"/>
      <c r="E45" s="390"/>
      <c r="F45" s="391">
        <f>CONVERT(140,"lbm","g")/1000</f>
        <v>63.502931800000006</v>
      </c>
      <c r="G45" s="202">
        <f>'Release Days and Sites'!K15</f>
        <v>2</v>
      </c>
      <c r="H45" s="204">
        <f>'Release Days and Sites'!D15</f>
        <v>140</v>
      </c>
      <c r="I45" s="256"/>
      <c r="J45" s="207"/>
      <c r="K45" s="207"/>
      <c r="L45" s="202"/>
      <c r="M45" s="207">
        <f>'Releases_Exp. Scen. 5 and 10'!M7</f>
        <v>5.0000000000000001E-3</v>
      </c>
      <c r="N45" s="207">
        <f>'Releases_Exp. Scen. 5 and 10'!M6</f>
        <v>0.02</v>
      </c>
      <c r="O45" s="208"/>
      <c r="P45" s="392"/>
      <c r="Q45" s="207"/>
      <c r="R45" s="202"/>
      <c r="S45" s="207"/>
      <c r="T45" s="207"/>
      <c r="U45" s="202"/>
      <c r="V45" s="207">
        <f t="shared" si="14"/>
        <v>1.1339809250000001E-3</v>
      </c>
      <c r="W45" s="207">
        <f t="shared" si="14"/>
        <v>4.5359237000000005E-3</v>
      </c>
      <c r="X45" s="208"/>
      <c r="Y45" s="392"/>
      <c r="Z45" s="212"/>
      <c r="AA45" s="202"/>
      <c r="AB45" s="212"/>
      <c r="AC45" s="393"/>
      <c r="AD45" s="202"/>
      <c r="AE45" s="207">
        <f t="shared" si="15"/>
        <v>0.15875732950000002</v>
      </c>
      <c r="AF45" s="393">
        <f t="shared" si="15"/>
        <v>0.63502931800000006</v>
      </c>
      <c r="AG45" s="213" t="s">
        <v>77</v>
      </c>
      <c r="AH45" s="209" t="s">
        <v>77</v>
      </c>
      <c r="AI45" s="210" t="s">
        <v>77</v>
      </c>
      <c r="AJ45" s="210" t="s">
        <v>77</v>
      </c>
      <c r="AK45" s="210" t="s">
        <v>77</v>
      </c>
      <c r="AL45" s="210" t="s">
        <v>77</v>
      </c>
      <c r="AM45" s="210" t="s">
        <v>77</v>
      </c>
      <c r="AN45" s="394">
        <f t="shared" si="16"/>
        <v>0.31751465900000003</v>
      </c>
      <c r="AO45" s="395">
        <f t="shared" si="16"/>
        <v>1.2700586360000001</v>
      </c>
      <c r="AP45" s="213" t="s">
        <v>77</v>
      </c>
      <c r="AQ45" s="125"/>
    </row>
    <row r="46" spans="1:43" ht="52.5" customHeight="1" thickBot="1" x14ac:dyDescent="0.3">
      <c r="A46" s="269"/>
      <c r="B46" s="270"/>
      <c r="C46" s="295"/>
      <c r="D46" s="296"/>
      <c r="E46" s="397"/>
      <c r="F46" s="398">
        <f>CONVERT(140,"lbm","g")/1000</f>
        <v>63.502931800000006</v>
      </c>
      <c r="G46" s="221">
        <f>'Release Days and Sites'!J15</f>
        <v>2</v>
      </c>
      <c r="H46" s="272">
        <f>'Release Days and Sites'!C15</f>
        <v>1</v>
      </c>
      <c r="I46" s="271"/>
      <c r="J46" s="226"/>
      <c r="K46" s="226"/>
      <c r="L46" s="221"/>
      <c r="M46" s="226">
        <f>'Releases_Exp. Scen. 5 and 10'!M7</f>
        <v>5.0000000000000001E-3</v>
      </c>
      <c r="N46" s="226">
        <f>'Releases_Exp. Scen. 5 and 10'!M6</f>
        <v>0.02</v>
      </c>
      <c r="O46" s="227"/>
      <c r="P46" s="399"/>
      <c r="Q46" s="400"/>
      <c r="R46" s="221"/>
      <c r="S46" s="400"/>
      <c r="T46" s="400"/>
      <c r="U46" s="221"/>
      <c r="V46" s="400">
        <f t="shared" si="14"/>
        <v>0.15875732950000002</v>
      </c>
      <c r="W46" s="400">
        <f t="shared" si="14"/>
        <v>0.63502931800000006</v>
      </c>
      <c r="X46" s="401"/>
      <c r="Y46" s="399"/>
      <c r="Z46" s="231"/>
      <c r="AA46" s="221"/>
      <c r="AB46" s="231"/>
      <c r="AC46" s="400"/>
      <c r="AD46" s="221"/>
      <c r="AE46" s="226">
        <f t="shared" si="15"/>
        <v>0.15875732950000002</v>
      </c>
      <c r="AF46" s="400">
        <f t="shared" si="15"/>
        <v>0.63502931800000006</v>
      </c>
      <c r="AG46" s="232" t="s">
        <v>77</v>
      </c>
      <c r="AH46" s="228" t="s">
        <v>77</v>
      </c>
      <c r="AI46" s="229" t="s">
        <v>77</v>
      </c>
      <c r="AJ46" s="229" t="s">
        <v>77</v>
      </c>
      <c r="AK46" s="229" t="s">
        <v>77</v>
      </c>
      <c r="AL46" s="229" t="s">
        <v>77</v>
      </c>
      <c r="AM46" s="229" t="s">
        <v>77</v>
      </c>
      <c r="AN46" s="402">
        <f t="shared" si="16"/>
        <v>0.31751465900000003</v>
      </c>
      <c r="AO46" s="403">
        <f t="shared" si="16"/>
        <v>1.2700586360000001</v>
      </c>
      <c r="AP46" s="232" t="s">
        <v>77</v>
      </c>
      <c r="AQ46" s="125"/>
    </row>
    <row r="47" spans="1:43" ht="93" customHeight="1" thickBot="1" x14ac:dyDescent="0.3">
      <c r="A47" s="404">
        <v>11</v>
      </c>
      <c r="B47" s="405" t="s">
        <v>40</v>
      </c>
      <c r="C47" s="404" t="s">
        <v>82</v>
      </c>
      <c r="D47" s="406" t="s">
        <v>22</v>
      </c>
      <c r="E47" s="407">
        <v>0.05</v>
      </c>
      <c r="F47" s="408">
        <f>$D$4*E47</f>
        <v>2267.9618500000001</v>
      </c>
      <c r="G47" s="407">
        <f>'Release Days and Sites'!J16</f>
        <v>1</v>
      </c>
      <c r="H47" s="409" t="s">
        <v>102</v>
      </c>
      <c r="I47" s="410" t="s">
        <v>103</v>
      </c>
      <c r="J47" s="411"/>
      <c r="K47" s="411"/>
      <c r="L47" s="411"/>
      <c r="M47" s="411"/>
      <c r="N47" s="411"/>
      <c r="O47" s="412"/>
      <c r="P47" s="413" t="s">
        <v>103</v>
      </c>
      <c r="Q47" s="414"/>
      <c r="R47" s="414"/>
      <c r="S47" s="414"/>
      <c r="T47" s="414"/>
      <c r="U47" s="414"/>
      <c r="V47" s="414"/>
      <c r="W47" s="414"/>
      <c r="X47" s="415"/>
      <c r="Y47" s="413" t="s">
        <v>103</v>
      </c>
      <c r="Z47" s="414"/>
      <c r="AA47" s="414"/>
      <c r="AB47" s="414"/>
      <c r="AC47" s="414"/>
      <c r="AD47" s="414"/>
      <c r="AE47" s="414"/>
      <c r="AF47" s="414"/>
      <c r="AG47" s="415"/>
      <c r="AH47" s="413" t="s">
        <v>103</v>
      </c>
      <c r="AI47" s="414"/>
      <c r="AJ47" s="414"/>
      <c r="AK47" s="414"/>
      <c r="AL47" s="414"/>
      <c r="AM47" s="414"/>
      <c r="AN47" s="414"/>
      <c r="AO47" s="414"/>
      <c r="AP47" s="415"/>
      <c r="AQ47" s="125"/>
    </row>
    <row r="48" spans="1:43" ht="93" customHeight="1" x14ac:dyDescent="0.25">
      <c r="A48" s="234">
        <v>12</v>
      </c>
      <c r="B48" s="235" t="s">
        <v>41</v>
      </c>
      <c r="C48" s="186" t="s">
        <v>50</v>
      </c>
      <c r="D48" s="187" t="s">
        <v>51</v>
      </c>
      <c r="E48" s="188" t="s">
        <v>57</v>
      </c>
      <c r="F48" s="189" t="s">
        <v>58</v>
      </c>
      <c r="G48" s="190" t="s">
        <v>59</v>
      </c>
      <c r="H48" s="191" t="s">
        <v>60</v>
      </c>
      <c r="I48" s="192" t="s">
        <v>61</v>
      </c>
      <c r="J48" s="193" t="s">
        <v>62</v>
      </c>
      <c r="K48" s="190" t="s">
        <v>63</v>
      </c>
      <c r="L48" s="190" t="s">
        <v>64</v>
      </c>
      <c r="M48" s="195" t="s">
        <v>87</v>
      </c>
      <c r="N48" s="195" t="s">
        <v>65</v>
      </c>
      <c r="O48" s="196" t="s">
        <v>65</v>
      </c>
      <c r="P48" s="197" t="s">
        <v>66</v>
      </c>
      <c r="Q48" s="190" t="s">
        <v>67</v>
      </c>
      <c r="R48" s="155" t="s">
        <v>104</v>
      </c>
      <c r="S48" s="155"/>
      <c r="T48" s="190" t="s">
        <v>70</v>
      </c>
      <c r="U48" s="190" t="s">
        <v>71</v>
      </c>
      <c r="V48" s="195" t="s">
        <v>89</v>
      </c>
      <c r="W48" s="190" t="s">
        <v>72</v>
      </c>
      <c r="X48" s="191" t="s">
        <v>72</v>
      </c>
      <c r="Y48" s="197" t="s">
        <v>66</v>
      </c>
      <c r="Z48" s="190" t="s">
        <v>67</v>
      </c>
      <c r="AA48" s="155" t="s">
        <v>104</v>
      </c>
      <c r="AB48" s="155"/>
      <c r="AC48" s="190" t="s">
        <v>70</v>
      </c>
      <c r="AD48" s="190" t="s">
        <v>71</v>
      </c>
      <c r="AE48" s="195" t="s">
        <v>89</v>
      </c>
      <c r="AF48" s="190" t="s">
        <v>72</v>
      </c>
      <c r="AG48" s="191" t="s">
        <v>72</v>
      </c>
      <c r="AH48" s="197" t="s">
        <v>66</v>
      </c>
      <c r="AI48" s="190" t="s">
        <v>67</v>
      </c>
      <c r="AJ48" s="155" t="s">
        <v>104</v>
      </c>
      <c r="AK48" s="155"/>
      <c r="AL48" s="190" t="s">
        <v>70</v>
      </c>
      <c r="AM48" s="190" t="s">
        <v>71</v>
      </c>
      <c r="AN48" s="195" t="s">
        <v>89</v>
      </c>
      <c r="AO48" s="190" t="s">
        <v>72</v>
      </c>
      <c r="AP48" s="191" t="s">
        <v>72</v>
      </c>
      <c r="AQ48" s="125"/>
    </row>
    <row r="49" spans="1:43" ht="80.25" customHeight="1" x14ac:dyDescent="0.25">
      <c r="A49" s="254"/>
      <c r="B49" s="255"/>
      <c r="C49" s="286" t="s">
        <v>105</v>
      </c>
      <c r="D49" s="287" t="s">
        <v>23</v>
      </c>
      <c r="E49" s="202">
        <v>0.05</v>
      </c>
      <c r="F49" s="340">
        <f>$D$4*E49</f>
        <v>2267.9618500000001</v>
      </c>
      <c r="G49" s="416">
        <f>'Release Days and Sites'!J17</f>
        <v>227</v>
      </c>
      <c r="H49" s="257">
        <f>'Release Days and Sites'!C17</f>
        <v>4</v>
      </c>
      <c r="I49" s="256"/>
      <c r="J49" s="207">
        <f>'Releases_Exp. Scen. 12'!I16</f>
        <v>0.01</v>
      </c>
      <c r="K49" s="210"/>
      <c r="L49" s="210"/>
      <c r="M49" s="393">
        <f>'Releases_Exp. Scen. 12'!I15</f>
        <v>9.0000000000000011E-2</v>
      </c>
      <c r="N49" s="210"/>
      <c r="O49" s="213"/>
      <c r="P49" s="209" t="s">
        <v>77</v>
      </c>
      <c r="Q49" s="210" t="s">
        <v>77</v>
      </c>
      <c r="R49" s="417">
        <f>$F49/$G49*J49/$H49</f>
        <v>2.497755341409692E-2</v>
      </c>
      <c r="S49" s="417"/>
      <c r="T49" s="210" t="s">
        <v>77</v>
      </c>
      <c r="U49" s="210" t="s">
        <v>77</v>
      </c>
      <c r="V49" s="207">
        <f>$F49/$G49*M49/$H49</f>
        <v>0.22479798072687229</v>
      </c>
      <c r="W49" s="210" t="s">
        <v>77</v>
      </c>
      <c r="X49" s="213" t="s">
        <v>77</v>
      </c>
      <c r="Y49" s="209" t="s">
        <v>77</v>
      </c>
      <c r="Z49" s="210" t="s">
        <v>77</v>
      </c>
      <c r="AA49" s="261">
        <f>R49*$H49</f>
        <v>9.9910213656387678E-2</v>
      </c>
      <c r="AB49" s="261"/>
      <c r="AC49" s="210" t="s">
        <v>77</v>
      </c>
      <c r="AD49" s="210" t="s">
        <v>77</v>
      </c>
      <c r="AE49" s="394">
        <f>V49*$H49</f>
        <v>0.89919192290748917</v>
      </c>
      <c r="AF49" s="210" t="s">
        <v>77</v>
      </c>
      <c r="AG49" s="213" t="s">
        <v>77</v>
      </c>
      <c r="AH49" s="209" t="s">
        <v>77</v>
      </c>
      <c r="AI49" s="210" t="s">
        <v>77</v>
      </c>
      <c r="AJ49" s="418">
        <f>AA49*$G49</f>
        <v>22.679618500000004</v>
      </c>
      <c r="AK49" s="418"/>
      <c r="AL49" s="210" t="s">
        <v>77</v>
      </c>
      <c r="AM49" s="210" t="s">
        <v>77</v>
      </c>
      <c r="AN49" s="317">
        <f>AE49*$G49</f>
        <v>204.11656650000003</v>
      </c>
      <c r="AO49" s="210" t="s">
        <v>77</v>
      </c>
      <c r="AP49" s="213" t="s">
        <v>77</v>
      </c>
      <c r="AQ49" s="125"/>
    </row>
    <row r="50" spans="1:43" ht="14.25" customHeight="1" x14ac:dyDescent="0.25">
      <c r="A50" s="254"/>
      <c r="B50" s="255"/>
      <c r="C50" s="286"/>
      <c r="D50" s="287"/>
      <c r="E50" s="202">
        <v>0.05</v>
      </c>
      <c r="F50" s="340">
        <f>$D$4*E50</f>
        <v>2267.9618500000001</v>
      </c>
      <c r="G50" s="416">
        <f>'Release Days and Sites'!J17</f>
        <v>227</v>
      </c>
      <c r="H50" s="257">
        <f>'Release Days and Sites'!D17</f>
        <v>300</v>
      </c>
      <c r="I50" s="256"/>
      <c r="J50" s="207">
        <f>'Releases_Exp. Scen. 12'!I16</f>
        <v>0.01</v>
      </c>
      <c r="K50" s="210"/>
      <c r="L50" s="210"/>
      <c r="M50" s="393">
        <f>'Releases_Exp. Scen. 12'!I15</f>
        <v>9.0000000000000011E-2</v>
      </c>
      <c r="N50" s="210"/>
      <c r="O50" s="213"/>
      <c r="P50" s="209" t="s">
        <v>77</v>
      </c>
      <c r="Q50" s="210" t="s">
        <v>77</v>
      </c>
      <c r="R50" s="417">
        <f>$F50/$G50*J50/$H50</f>
        <v>3.3303404552129226E-4</v>
      </c>
      <c r="S50" s="417"/>
      <c r="T50" s="210" t="s">
        <v>77</v>
      </c>
      <c r="U50" s="210" t="s">
        <v>77</v>
      </c>
      <c r="V50" s="207">
        <f>$F50/$G50*M50/$H50</f>
        <v>2.9973064096916304E-3</v>
      </c>
      <c r="W50" s="210" t="s">
        <v>77</v>
      </c>
      <c r="X50" s="213" t="s">
        <v>77</v>
      </c>
      <c r="Y50" s="209" t="s">
        <v>77</v>
      </c>
      <c r="Z50" s="210" t="s">
        <v>77</v>
      </c>
      <c r="AA50" s="261">
        <f>R50*$H50</f>
        <v>9.9910213656387678E-2</v>
      </c>
      <c r="AB50" s="261"/>
      <c r="AC50" s="210" t="s">
        <v>77</v>
      </c>
      <c r="AD50" s="210" t="s">
        <v>77</v>
      </c>
      <c r="AE50" s="394">
        <f>V50*$H50</f>
        <v>0.89919192290748906</v>
      </c>
      <c r="AF50" s="210" t="s">
        <v>77</v>
      </c>
      <c r="AG50" s="213" t="s">
        <v>77</v>
      </c>
      <c r="AH50" s="209" t="s">
        <v>77</v>
      </c>
      <c r="AI50" s="210" t="s">
        <v>77</v>
      </c>
      <c r="AJ50" s="418">
        <f>AA50*$G50</f>
        <v>22.679618500000004</v>
      </c>
      <c r="AK50" s="418"/>
      <c r="AL50" s="210" t="s">
        <v>77</v>
      </c>
      <c r="AM50" s="210" t="s">
        <v>77</v>
      </c>
      <c r="AN50" s="317">
        <f>AE50*$G50</f>
        <v>204.1165665</v>
      </c>
      <c r="AO50" s="210" t="s">
        <v>77</v>
      </c>
      <c r="AP50" s="213" t="s">
        <v>77</v>
      </c>
      <c r="AQ50" s="125"/>
    </row>
    <row r="51" spans="1:43" ht="39.75" customHeight="1" x14ac:dyDescent="0.25">
      <c r="A51" s="254"/>
      <c r="B51" s="255"/>
      <c r="C51" s="286" t="s">
        <v>106</v>
      </c>
      <c r="D51" s="287"/>
      <c r="E51" s="202">
        <v>0.05</v>
      </c>
      <c r="F51" s="340">
        <f>$D$4*E51</f>
        <v>2267.9618500000001</v>
      </c>
      <c r="G51" s="416">
        <f>'Release Days and Sites'!J17</f>
        <v>227</v>
      </c>
      <c r="H51" s="257">
        <f>'Release Days and Sites'!C17</f>
        <v>4</v>
      </c>
      <c r="I51" s="256"/>
      <c r="J51" s="207">
        <f>'Releases_Exp. Scen. 12'!J16</f>
        <v>0.02</v>
      </c>
      <c r="K51" s="210"/>
      <c r="L51" s="210"/>
      <c r="M51" s="393">
        <f>'Releases_Exp. Scen. 12'!J15</f>
        <v>0.08</v>
      </c>
      <c r="N51" s="210"/>
      <c r="O51" s="213"/>
      <c r="P51" s="209" t="s">
        <v>77</v>
      </c>
      <c r="Q51" s="210" t="s">
        <v>77</v>
      </c>
      <c r="R51" s="417">
        <f>$F51/$G51*J51/$H51</f>
        <v>4.9955106828193839E-2</v>
      </c>
      <c r="S51" s="417"/>
      <c r="T51" s="210" t="s">
        <v>77</v>
      </c>
      <c r="U51" s="210" t="s">
        <v>77</v>
      </c>
      <c r="V51" s="207">
        <f>$F51/$G51*M51/$H51</f>
        <v>0.19982042731277536</v>
      </c>
      <c r="W51" s="210" t="s">
        <v>77</v>
      </c>
      <c r="X51" s="213" t="s">
        <v>77</v>
      </c>
      <c r="Y51" s="209" t="s">
        <v>77</v>
      </c>
      <c r="Z51" s="210" t="s">
        <v>77</v>
      </c>
      <c r="AA51" s="261">
        <f>R51*$H51</f>
        <v>0.19982042731277536</v>
      </c>
      <c r="AB51" s="261"/>
      <c r="AC51" s="210" t="s">
        <v>77</v>
      </c>
      <c r="AD51" s="210" t="s">
        <v>77</v>
      </c>
      <c r="AE51" s="394">
        <f>V51*$H51</f>
        <v>0.79928170925110142</v>
      </c>
      <c r="AF51" s="210" t="s">
        <v>77</v>
      </c>
      <c r="AG51" s="213" t="s">
        <v>77</v>
      </c>
      <c r="AH51" s="209" t="s">
        <v>77</v>
      </c>
      <c r="AI51" s="210" t="s">
        <v>77</v>
      </c>
      <c r="AJ51" s="418">
        <f>AA51*$G51</f>
        <v>45.359237000000007</v>
      </c>
      <c r="AK51" s="418"/>
      <c r="AL51" s="210" t="s">
        <v>77</v>
      </c>
      <c r="AM51" s="210" t="s">
        <v>77</v>
      </c>
      <c r="AN51" s="317">
        <f>AE51*$G51</f>
        <v>181.43694800000003</v>
      </c>
      <c r="AO51" s="210" t="s">
        <v>77</v>
      </c>
      <c r="AP51" s="213" t="s">
        <v>77</v>
      </c>
      <c r="AQ51" s="125"/>
    </row>
    <row r="52" spans="1:43" ht="39.75" customHeight="1" thickBot="1" x14ac:dyDescent="0.3">
      <c r="A52" s="269"/>
      <c r="B52" s="270"/>
      <c r="C52" s="295"/>
      <c r="D52" s="296"/>
      <c r="E52" s="221">
        <v>0.05</v>
      </c>
      <c r="F52" s="344">
        <f>$D$4*E52</f>
        <v>2267.9618500000001</v>
      </c>
      <c r="G52" s="419">
        <f>'Release Days and Sites'!J17</f>
        <v>227</v>
      </c>
      <c r="H52" s="272">
        <f>'Release Days and Sites'!D17</f>
        <v>300</v>
      </c>
      <c r="I52" s="271"/>
      <c r="J52" s="226">
        <f>'Releases_Exp. Scen. 12'!J16</f>
        <v>0.02</v>
      </c>
      <c r="K52" s="229"/>
      <c r="L52" s="229"/>
      <c r="M52" s="400">
        <f>'Releases_Exp. Scen. 12'!J15</f>
        <v>0.08</v>
      </c>
      <c r="N52" s="229"/>
      <c r="O52" s="232"/>
      <c r="P52" s="228" t="s">
        <v>77</v>
      </c>
      <c r="Q52" s="229" t="s">
        <v>77</v>
      </c>
      <c r="R52" s="420">
        <f>$F52/$G52*J52/$H52</f>
        <v>6.6606809104258452E-4</v>
      </c>
      <c r="S52" s="420"/>
      <c r="T52" s="229" t="s">
        <v>77</v>
      </c>
      <c r="U52" s="229" t="s">
        <v>77</v>
      </c>
      <c r="V52" s="226">
        <f>$F52/$G52*M52/$H52</f>
        <v>2.6642723641703381E-3</v>
      </c>
      <c r="W52" s="229" t="s">
        <v>77</v>
      </c>
      <c r="X52" s="232" t="s">
        <v>77</v>
      </c>
      <c r="Y52" s="228" t="s">
        <v>77</v>
      </c>
      <c r="Z52" s="229" t="s">
        <v>77</v>
      </c>
      <c r="AA52" s="276">
        <f>R52*$H52</f>
        <v>0.19982042731277536</v>
      </c>
      <c r="AB52" s="276"/>
      <c r="AC52" s="229" t="s">
        <v>77</v>
      </c>
      <c r="AD52" s="229" t="s">
        <v>77</v>
      </c>
      <c r="AE52" s="402">
        <f>V52*$H52</f>
        <v>0.79928170925110142</v>
      </c>
      <c r="AF52" s="229" t="s">
        <v>77</v>
      </c>
      <c r="AG52" s="232" t="s">
        <v>77</v>
      </c>
      <c r="AH52" s="228" t="s">
        <v>77</v>
      </c>
      <c r="AI52" s="229" t="s">
        <v>77</v>
      </c>
      <c r="AJ52" s="421">
        <f>AA52*$G52</f>
        <v>45.359237000000007</v>
      </c>
      <c r="AK52" s="421"/>
      <c r="AL52" s="229" t="s">
        <v>77</v>
      </c>
      <c r="AM52" s="229" t="s">
        <v>77</v>
      </c>
      <c r="AN52" s="319">
        <f>AE52*$G52</f>
        <v>181.43694800000003</v>
      </c>
      <c r="AO52" s="229" t="s">
        <v>77</v>
      </c>
      <c r="AP52" s="232" t="s">
        <v>77</v>
      </c>
      <c r="AQ52" s="125"/>
    </row>
    <row r="53" spans="1:43" ht="93" customHeight="1" x14ac:dyDescent="0.25">
      <c r="A53" s="422">
        <v>13</v>
      </c>
      <c r="B53" s="423" t="s">
        <v>42</v>
      </c>
      <c r="C53" s="186" t="s">
        <v>50</v>
      </c>
      <c r="D53" s="187" t="s">
        <v>51</v>
      </c>
      <c r="E53" s="188" t="s">
        <v>57</v>
      </c>
      <c r="F53" s="189" t="s">
        <v>107</v>
      </c>
      <c r="G53" s="190" t="s">
        <v>59</v>
      </c>
      <c r="H53" s="191" t="s">
        <v>60</v>
      </c>
      <c r="I53" s="192" t="s">
        <v>61</v>
      </c>
      <c r="J53" s="193" t="s">
        <v>62</v>
      </c>
      <c r="K53" s="190" t="s">
        <v>63</v>
      </c>
      <c r="L53" s="190" t="s">
        <v>64</v>
      </c>
      <c r="M53" s="195" t="s">
        <v>87</v>
      </c>
      <c r="N53" s="195" t="s">
        <v>108</v>
      </c>
      <c r="O53" s="196" t="s">
        <v>65</v>
      </c>
      <c r="P53" s="197" t="s">
        <v>66</v>
      </c>
      <c r="Q53" s="190" t="s">
        <v>67</v>
      </c>
      <c r="R53" s="155" t="s">
        <v>109</v>
      </c>
      <c r="S53" s="155"/>
      <c r="T53" s="190" t="s">
        <v>70</v>
      </c>
      <c r="U53" s="190" t="s">
        <v>71</v>
      </c>
      <c r="V53" s="195" t="s">
        <v>89</v>
      </c>
      <c r="W53" s="424" t="s">
        <v>110</v>
      </c>
      <c r="X53" s="191" t="s">
        <v>72</v>
      </c>
      <c r="Y53" s="197" t="s">
        <v>66</v>
      </c>
      <c r="Z53" s="190" t="s">
        <v>67</v>
      </c>
      <c r="AA53" s="155" t="s">
        <v>109</v>
      </c>
      <c r="AB53" s="155"/>
      <c r="AC53" s="190" t="s">
        <v>70</v>
      </c>
      <c r="AD53" s="190" t="s">
        <v>71</v>
      </c>
      <c r="AE53" s="195" t="s">
        <v>89</v>
      </c>
      <c r="AF53" s="424" t="s">
        <v>110</v>
      </c>
      <c r="AG53" s="191" t="s">
        <v>72</v>
      </c>
      <c r="AH53" s="197" t="s">
        <v>66</v>
      </c>
      <c r="AI53" s="190" t="s">
        <v>67</v>
      </c>
      <c r="AJ53" s="155" t="s">
        <v>109</v>
      </c>
      <c r="AK53" s="155"/>
      <c r="AL53" s="190" t="s">
        <v>70</v>
      </c>
      <c r="AM53" s="190" t="s">
        <v>71</v>
      </c>
      <c r="AN53" s="195" t="s">
        <v>89</v>
      </c>
      <c r="AO53" s="424" t="s">
        <v>110</v>
      </c>
      <c r="AP53" s="191" t="s">
        <v>72</v>
      </c>
      <c r="AQ53" s="125"/>
    </row>
    <row r="54" spans="1:43" ht="80.25" customHeight="1" x14ac:dyDescent="0.25">
      <c r="A54" s="425"/>
      <c r="B54" s="426"/>
      <c r="C54" s="427" t="s">
        <v>111</v>
      </c>
      <c r="D54" s="201" t="s">
        <v>24</v>
      </c>
      <c r="E54" s="287" t="s">
        <v>112</v>
      </c>
      <c r="F54" s="428">
        <f>'Releases_Exp. Scen. 13'!B16</f>
        <v>25.359937049999999</v>
      </c>
      <c r="G54" s="416">
        <f>'Releases_Exp. Scen. 13'!B8</f>
        <v>572</v>
      </c>
      <c r="H54" s="202">
        <f>'Release Days and Sites'!C18</f>
        <v>250</v>
      </c>
      <c r="I54" s="207"/>
      <c r="J54" s="207"/>
      <c r="K54" s="210"/>
      <c r="L54" s="210"/>
      <c r="M54" s="393"/>
      <c r="N54" s="429">
        <f>'Releases_Exp. Scen. 13'!H21</f>
        <v>7.8660000000000008E-2</v>
      </c>
      <c r="O54" s="210"/>
      <c r="P54" s="210" t="s">
        <v>77</v>
      </c>
      <c r="Q54" s="210" t="s">
        <v>77</v>
      </c>
      <c r="R54" s="430" t="s">
        <v>77</v>
      </c>
      <c r="S54" s="417"/>
      <c r="T54" s="210" t="s">
        <v>77</v>
      </c>
      <c r="U54" s="210" t="s">
        <v>77</v>
      </c>
      <c r="V54" s="210" t="s">
        <v>77</v>
      </c>
      <c r="W54" s="429">
        <f>F54/H54*N54</f>
        <v>7.9792505934120003E-3</v>
      </c>
      <c r="X54" s="210" t="s">
        <v>77</v>
      </c>
      <c r="Y54" s="210" t="s">
        <v>77</v>
      </c>
      <c r="Z54" s="210" t="s">
        <v>77</v>
      </c>
      <c r="AA54" s="431" t="s">
        <v>77</v>
      </c>
      <c r="AB54" s="261"/>
      <c r="AC54" s="210" t="s">
        <v>77</v>
      </c>
      <c r="AD54" s="210" t="s">
        <v>77</v>
      </c>
      <c r="AE54" s="432" t="s">
        <v>77</v>
      </c>
      <c r="AF54" s="433">
        <f>W54*H54</f>
        <v>1.994812648353</v>
      </c>
      <c r="AG54" s="210" t="s">
        <v>77</v>
      </c>
      <c r="AH54" s="434" t="s">
        <v>113</v>
      </c>
      <c r="AI54" s="435"/>
      <c r="AJ54" s="435"/>
      <c r="AK54" s="435"/>
      <c r="AL54" s="435"/>
      <c r="AM54" s="435"/>
      <c r="AN54" s="435"/>
      <c r="AO54" s="435"/>
      <c r="AP54" s="436"/>
      <c r="AQ54" s="125"/>
    </row>
    <row r="55" spans="1:43" ht="47.25" customHeight="1" x14ac:dyDescent="0.25">
      <c r="A55" s="425"/>
      <c r="B55" s="426"/>
      <c r="C55" s="427" t="s">
        <v>114</v>
      </c>
      <c r="D55" s="216"/>
      <c r="E55" s="287"/>
      <c r="F55" s="428">
        <f>'Releases_Exp. Scen. 13'!B15</f>
        <v>40.96605215769231</v>
      </c>
      <c r="G55" s="416">
        <f>'Releases_Exp. Scen. 13'!B8</f>
        <v>572</v>
      </c>
      <c r="H55" s="202">
        <f>'Release Days and Sites'!C18</f>
        <v>250</v>
      </c>
      <c r="I55" s="207"/>
      <c r="J55" s="207"/>
      <c r="K55" s="210"/>
      <c r="L55" s="210"/>
      <c r="M55" s="393"/>
      <c r="N55" s="429">
        <f>'Releases_Exp. Scen. 13'!I21</f>
        <v>0.14937999999999999</v>
      </c>
      <c r="O55" s="210"/>
      <c r="P55" s="210" t="s">
        <v>77</v>
      </c>
      <c r="Q55" s="210" t="s">
        <v>77</v>
      </c>
      <c r="R55" s="437" t="s">
        <v>77</v>
      </c>
      <c r="S55" s="438"/>
      <c r="T55" s="210" t="s">
        <v>77</v>
      </c>
      <c r="U55" s="210" t="s">
        <v>77</v>
      </c>
      <c r="V55" s="210" t="s">
        <v>77</v>
      </c>
      <c r="W55" s="439">
        <f>F55/H55*N55</f>
        <v>2.447803548526431E-2</v>
      </c>
      <c r="X55" s="210" t="s">
        <v>77</v>
      </c>
      <c r="Y55" s="210" t="s">
        <v>77</v>
      </c>
      <c r="Z55" s="210" t="s">
        <v>77</v>
      </c>
      <c r="AA55" s="431" t="s">
        <v>77</v>
      </c>
      <c r="AB55" s="261"/>
      <c r="AC55" s="210" t="s">
        <v>77</v>
      </c>
      <c r="AD55" s="210" t="s">
        <v>77</v>
      </c>
      <c r="AE55" s="432" t="s">
        <v>77</v>
      </c>
      <c r="AF55" s="210">
        <f>W55*H55</f>
        <v>6.1195088713160777</v>
      </c>
      <c r="AG55" s="210" t="s">
        <v>77</v>
      </c>
      <c r="AH55" s="434" t="s">
        <v>113</v>
      </c>
      <c r="AI55" s="435"/>
      <c r="AJ55" s="435"/>
      <c r="AK55" s="435"/>
      <c r="AL55" s="435"/>
      <c r="AM55" s="435"/>
      <c r="AN55" s="435"/>
      <c r="AO55" s="435"/>
      <c r="AP55" s="436"/>
      <c r="AQ55" s="125"/>
    </row>
    <row r="56" spans="1:43" ht="45" x14ac:dyDescent="0.25">
      <c r="A56" s="425"/>
      <c r="B56" s="426"/>
      <c r="C56" s="427" t="s">
        <v>115</v>
      </c>
      <c r="D56" s="216"/>
      <c r="E56" s="287"/>
      <c r="F56" s="428">
        <f>'Releases_Exp. Scen. 13'!B14</f>
        <v>396.25829443199996</v>
      </c>
      <c r="G56" s="202">
        <f>'Releases_Exp. Scen. 13'!B8</f>
        <v>572</v>
      </c>
      <c r="H56" s="202">
        <f>'Release Days and Sites'!C18</f>
        <v>250</v>
      </c>
      <c r="I56" s="207"/>
      <c r="J56" s="207"/>
      <c r="K56" s="202"/>
      <c r="L56" s="202"/>
      <c r="M56" s="202"/>
      <c r="N56" s="202">
        <f>'Releases_Exp. Scen. 13'!H21</f>
        <v>7.8660000000000008E-2</v>
      </c>
      <c r="O56" s="202"/>
      <c r="P56" s="210" t="s">
        <v>77</v>
      </c>
      <c r="Q56" s="210" t="s">
        <v>77</v>
      </c>
      <c r="R56" s="440" t="s">
        <v>77</v>
      </c>
      <c r="S56" s="440" t="s">
        <v>77</v>
      </c>
      <c r="T56" s="210" t="s">
        <v>77</v>
      </c>
      <c r="U56" s="210" t="s">
        <v>77</v>
      </c>
      <c r="V56" s="210" t="s">
        <v>77</v>
      </c>
      <c r="W56" s="441">
        <f>F56/H56*N56</f>
        <v>0.12467870976008448</v>
      </c>
      <c r="X56" s="210" t="s">
        <v>77</v>
      </c>
      <c r="Y56" s="210" t="s">
        <v>77</v>
      </c>
      <c r="Z56" s="210" t="s">
        <v>77</v>
      </c>
      <c r="AA56" s="431" t="s">
        <v>77</v>
      </c>
      <c r="AB56" s="261"/>
      <c r="AC56" s="210" t="s">
        <v>77</v>
      </c>
      <c r="AD56" s="210" t="s">
        <v>77</v>
      </c>
      <c r="AE56" s="432" t="s">
        <v>77</v>
      </c>
      <c r="AF56" s="210">
        <f>W56*H56</f>
        <v>31.169677440021118</v>
      </c>
      <c r="AG56" s="210" t="s">
        <v>77</v>
      </c>
      <c r="AH56" s="434" t="s">
        <v>113</v>
      </c>
      <c r="AI56" s="435"/>
      <c r="AJ56" s="435"/>
      <c r="AK56" s="435"/>
      <c r="AL56" s="435"/>
      <c r="AM56" s="435"/>
      <c r="AN56" s="435"/>
      <c r="AO56" s="435"/>
      <c r="AP56" s="436"/>
      <c r="AQ56" s="157"/>
    </row>
    <row r="57" spans="1:43" ht="45" x14ac:dyDescent="0.25">
      <c r="A57" s="442"/>
      <c r="B57" s="443"/>
      <c r="C57" s="427" t="s">
        <v>116</v>
      </c>
      <c r="D57" s="444"/>
      <c r="E57" s="287"/>
      <c r="F57" s="428">
        <f>'Releases_Exp. Scen. 13'!B13</f>
        <v>640.10955254399994</v>
      </c>
      <c r="G57" s="202">
        <f>'Releases_Exp. Scen. 13'!B8</f>
        <v>572</v>
      </c>
      <c r="H57" s="202">
        <f>'Release Days and Sites'!C18</f>
        <v>250</v>
      </c>
      <c r="I57" s="207"/>
      <c r="J57" s="207"/>
      <c r="K57" s="202"/>
      <c r="L57" s="202"/>
      <c r="M57" s="202"/>
      <c r="N57" s="202">
        <f>'Releases_Exp. Scen. 13'!I21</f>
        <v>0.14937999999999999</v>
      </c>
      <c r="O57" s="202"/>
      <c r="P57" s="210" t="s">
        <v>77</v>
      </c>
      <c r="Q57" s="210" t="s">
        <v>77</v>
      </c>
      <c r="R57" s="440" t="s">
        <v>77</v>
      </c>
      <c r="S57" s="445"/>
      <c r="T57" s="210" t="s">
        <v>77</v>
      </c>
      <c r="U57" s="210" t="s">
        <v>77</v>
      </c>
      <c r="V57" s="210" t="s">
        <v>77</v>
      </c>
      <c r="W57" s="441">
        <f>F57/H57*N57</f>
        <v>0.38247825983609079</v>
      </c>
      <c r="X57" s="210" t="s">
        <v>77</v>
      </c>
      <c r="Y57" s="210" t="s">
        <v>77</v>
      </c>
      <c r="Z57" s="210" t="s">
        <v>77</v>
      </c>
      <c r="AA57" s="431" t="s">
        <v>77</v>
      </c>
      <c r="AB57" s="261"/>
      <c r="AC57" s="210" t="s">
        <v>77</v>
      </c>
      <c r="AD57" s="210" t="s">
        <v>77</v>
      </c>
      <c r="AE57" s="432" t="s">
        <v>77</v>
      </c>
      <c r="AF57" s="210">
        <f>W57*H57</f>
        <v>95.619564959022696</v>
      </c>
      <c r="AG57" s="210" t="s">
        <v>77</v>
      </c>
      <c r="AH57" s="434" t="s">
        <v>113</v>
      </c>
      <c r="AI57" s="435"/>
      <c r="AJ57" s="435"/>
      <c r="AK57" s="435"/>
      <c r="AL57" s="435"/>
      <c r="AM57" s="435"/>
      <c r="AN57" s="435"/>
      <c r="AO57" s="435"/>
      <c r="AP57" s="436"/>
      <c r="AQ57" s="157"/>
    </row>
  </sheetData>
  <sheetProtection algorithmName="SHA-512" hashValue="sM+bl9CNsXcrpmUahEPn55RKGPN6oDsxHi6rka0LX9jp5/pGOuxlI1ZS3ICwyqA2YN29WZFoy9IF+Fbn6hzMYg==" saltValue="Y9YStY8wcXceb/yLGIkOsw==" spinCount="100000" sheet="1" objects="1" scenarios="1"/>
  <mergeCells count="164">
    <mergeCell ref="D54:D57"/>
    <mergeCell ref="E54:E57"/>
    <mergeCell ref="A53:A57"/>
    <mergeCell ref="B53:B57"/>
    <mergeCell ref="AA56:AB56"/>
    <mergeCell ref="AA57:AB57"/>
    <mergeCell ref="AH54:AP54"/>
    <mergeCell ref="AH55:AP55"/>
    <mergeCell ref="AH56:AP56"/>
    <mergeCell ref="AH57:AP57"/>
    <mergeCell ref="R53:S53"/>
    <mergeCell ref="AA53:AB53"/>
    <mergeCell ref="AJ53:AK53"/>
    <mergeCell ref="R54:S54"/>
    <mergeCell ref="AA54:AB54"/>
    <mergeCell ref="R55:S55"/>
    <mergeCell ref="AA55:AB55"/>
    <mergeCell ref="A34:A38"/>
    <mergeCell ref="B34:B38"/>
    <mergeCell ref="A42:A46"/>
    <mergeCell ref="B42:B46"/>
    <mergeCell ref="A39:A41"/>
    <mergeCell ref="P5:X5"/>
    <mergeCell ref="Y5:AG5"/>
    <mergeCell ref="AH5:AP5"/>
    <mergeCell ref="AJ13:AK13"/>
    <mergeCell ref="AH12:AI12"/>
    <mergeCell ref="AH14:AI14"/>
    <mergeCell ref="AJ12:AK12"/>
    <mergeCell ref="AJ14:AK14"/>
    <mergeCell ref="R14:S14"/>
    <mergeCell ref="Y12:Z12"/>
    <mergeCell ref="Y14:Z14"/>
    <mergeCell ref="AA12:AB12"/>
    <mergeCell ref="AA14:AB14"/>
    <mergeCell ref="R13:S13"/>
    <mergeCell ref="Y13:Z13"/>
    <mergeCell ref="AA13:AB13"/>
    <mergeCell ref="AH13:AI13"/>
    <mergeCell ref="P14:Q14"/>
    <mergeCell ref="R12:S12"/>
    <mergeCell ref="AA48:AB48"/>
    <mergeCell ref="AJ48:AK48"/>
    <mergeCell ref="A48:A52"/>
    <mergeCell ref="B48:B52"/>
    <mergeCell ref="R49:S49"/>
    <mergeCell ref="R50:S50"/>
    <mergeCell ref="R51:S51"/>
    <mergeCell ref="R52:S52"/>
    <mergeCell ref="AA49:AB49"/>
    <mergeCell ref="AA50:AB50"/>
    <mergeCell ref="AA51:AB51"/>
    <mergeCell ref="AA52:AB52"/>
    <mergeCell ref="AJ49:AK49"/>
    <mergeCell ref="AJ50:AK50"/>
    <mergeCell ref="AJ51:AK51"/>
    <mergeCell ref="AJ52:AK52"/>
    <mergeCell ref="C12:C13"/>
    <mergeCell ref="B16:B19"/>
    <mergeCell ref="B20:B22"/>
    <mergeCell ref="A16:A19"/>
    <mergeCell ref="A20:A22"/>
    <mergeCell ref="A12:A15"/>
    <mergeCell ref="B12:B15"/>
    <mergeCell ref="B28:B32"/>
    <mergeCell ref="A28:A32"/>
    <mergeCell ref="C14:C15"/>
    <mergeCell ref="B39:B41"/>
    <mergeCell ref="R48:S48"/>
    <mergeCell ref="I47:O47"/>
    <mergeCell ref="C43:C44"/>
    <mergeCell ref="C45:C46"/>
    <mergeCell ref="E43:E46"/>
    <mergeCell ref="P47:X47"/>
    <mergeCell ref="E40:E41"/>
    <mergeCell ref="D40:D41"/>
    <mergeCell ref="C8:C9"/>
    <mergeCell ref="A23:A27"/>
    <mergeCell ref="B23:B27"/>
    <mergeCell ref="AJ15:AK15"/>
    <mergeCell ref="Y17:Z17"/>
    <mergeCell ref="Y19:Z19"/>
    <mergeCell ref="AA17:AB17"/>
    <mergeCell ref="AA19:AB19"/>
    <mergeCell ref="AH19:AI19"/>
    <mergeCell ref="AJ19:AK19"/>
    <mergeCell ref="AH16:AI16"/>
    <mergeCell ref="AH18:AI18"/>
    <mergeCell ref="AJ16:AK16"/>
    <mergeCell ref="AJ18:AK18"/>
    <mergeCell ref="AH17:AI17"/>
    <mergeCell ref="AJ17:AK17"/>
    <mergeCell ref="AH15:AI15"/>
    <mergeCell ref="AA16:AB16"/>
    <mergeCell ref="Y16:Z16"/>
    <mergeCell ref="Y18:Z18"/>
    <mergeCell ref="AA18:AB18"/>
    <mergeCell ref="A7:A11"/>
    <mergeCell ref="B7:B11"/>
    <mergeCell ref="P12:Q12"/>
    <mergeCell ref="R17:S17"/>
    <mergeCell ref="P13:Q13"/>
    <mergeCell ref="R21:S21"/>
    <mergeCell ref="Y21:Z21"/>
    <mergeCell ref="AA21:AB21"/>
    <mergeCell ref="P20:Q20"/>
    <mergeCell ref="R20:S20"/>
    <mergeCell ref="AA20:AB20"/>
    <mergeCell ref="Y20:Z20"/>
    <mergeCell ref="P15:Q15"/>
    <mergeCell ref="R15:S15"/>
    <mergeCell ref="Y15:Z15"/>
    <mergeCell ref="AA15:AB15"/>
    <mergeCell ref="P16:Q16"/>
    <mergeCell ref="P18:Q18"/>
    <mergeCell ref="R16:S16"/>
    <mergeCell ref="B3:B4"/>
    <mergeCell ref="A5:B6"/>
    <mergeCell ref="C49:C50"/>
    <mergeCell ref="C51:C52"/>
    <mergeCell ref="D5:D6"/>
    <mergeCell ref="D8:D11"/>
    <mergeCell ref="D12:D15"/>
    <mergeCell ref="D16:D19"/>
    <mergeCell ref="D20:D21"/>
    <mergeCell ref="D24:D27"/>
    <mergeCell ref="D29:D32"/>
    <mergeCell ref="D35:D38"/>
    <mergeCell ref="D43:D46"/>
    <mergeCell ref="D49:D52"/>
    <mergeCell ref="C33:H33"/>
    <mergeCell ref="C29:C30"/>
    <mergeCell ref="C31:C32"/>
    <mergeCell ref="C24:C25"/>
    <mergeCell ref="C26:C27"/>
    <mergeCell ref="C16:C17"/>
    <mergeCell ref="C18:C19"/>
    <mergeCell ref="C20:C21"/>
    <mergeCell ref="C10:C11"/>
    <mergeCell ref="C5:C6"/>
    <mergeCell ref="Y47:AG47"/>
    <mergeCell ref="AH47:AP47"/>
    <mergeCell ref="E5:H5"/>
    <mergeCell ref="I5:O5"/>
    <mergeCell ref="P4:X4"/>
    <mergeCell ref="Y4:AG4"/>
    <mergeCell ref="AH4:AP4"/>
    <mergeCell ref="I22:O22"/>
    <mergeCell ref="P22:X22"/>
    <mergeCell ref="Y22:AG22"/>
    <mergeCell ref="AH22:AP22"/>
    <mergeCell ref="AH21:AI21"/>
    <mergeCell ref="AJ21:AK21"/>
    <mergeCell ref="R19:S19"/>
    <mergeCell ref="AH20:AI20"/>
    <mergeCell ref="AJ20:AK20"/>
    <mergeCell ref="I33:O33"/>
    <mergeCell ref="P33:X33"/>
    <mergeCell ref="Y33:AG33"/>
    <mergeCell ref="AH33:AP33"/>
    <mergeCell ref="P17:Q17"/>
    <mergeCell ref="P19:Q19"/>
    <mergeCell ref="P21:Q21"/>
    <mergeCell ref="R18:S18"/>
  </mergeCells>
  <phoneticPr fontId="8" type="noConversion"/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D78A66-6272-4DB2-9D1A-2410BE5DC2DF}">
  <dimension ref="A1:R121"/>
  <sheetViews>
    <sheetView workbookViewId="0">
      <selection activeCell="D2" sqref="D2"/>
    </sheetView>
  </sheetViews>
  <sheetFormatPr defaultRowHeight="12.75" x14ac:dyDescent="0.2"/>
  <cols>
    <col min="1" max="1" width="19.7109375" style="446" customWidth="1"/>
    <col min="2" max="2" width="22.140625" style="447" customWidth="1"/>
    <col min="3" max="7" width="19.5703125" style="447" customWidth="1"/>
    <col min="8" max="8" width="23.140625" style="447" customWidth="1"/>
    <col min="9" max="9" width="36.7109375" style="447" customWidth="1"/>
    <col min="10" max="10" width="32" style="447" customWidth="1"/>
    <col min="11" max="11" width="44.7109375" style="447" customWidth="1"/>
    <col min="12" max="12" width="43.28515625" style="447" customWidth="1"/>
    <col min="13" max="13" width="32.42578125" style="447" customWidth="1"/>
    <col min="14" max="14" width="50.85546875" style="447" customWidth="1"/>
    <col min="15" max="15" width="40.85546875" style="447" customWidth="1"/>
    <col min="16" max="16" width="34.5703125" style="447" customWidth="1"/>
    <col min="17" max="18" width="38.7109375" style="447" customWidth="1"/>
    <col min="19" max="19" width="15.140625" style="446" customWidth="1"/>
    <col min="20" max="16384" width="9.140625" style="446"/>
  </cols>
  <sheetData>
    <row r="1" spans="1:15" x14ac:dyDescent="0.2">
      <c r="A1" s="446" t="s">
        <v>117</v>
      </c>
    </row>
    <row r="2" spans="1:15" x14ac:dyDescent="0.2">
      <c r="A2" s="446" t="s">
        <v>118</v>
      </c>
      <c r="B2" s="448">
        <v>100000</v>
      </c>
      <c r="C2" s="447" t="s">
        <v>45</v>
      </c>
    </row>
    <row r="3" spans="1:15" x14ac:dyDescent="0.2">
      <c r="B3" s="446"/>
    </row>
    <row r="4" spans="1:15" x14ac:dyDescent="0.2">
      <c r="A4" s="449" t="s">
        <v>119</v>
      </c>
      <c r="C4" s="450"/>
      <c r="D4" s="450"/>
      <c r="E4" s="450"/>
      <c r="F4" s="450"/>
      <c r="G4" s="450"/>
      <c r="H4" s="450"/>
      <c r="I4" s="450"/>
      <c r="J4" s="450"/>
      <c r="K4" s="450"/>
    </row>
    <row r="5" spans="1:15" ht="15.75" customHeight="1" x14ac:dyDescent="0.2">
      <c r="A5" s="451" t="s">
        <v>120</v>
      </c>
      <c r="B5" s="451" t="s">
        <v>121</v>
      </c>
      <c r="C5" s="451" t="s">
        <v>122</v>
      </c>
      <c r="D5" s="451"/>
      <c r="E5" s="451"/>
      <c r="F5" s="451"/>
      <c r="G5" s="451" t="s">
        <v>123</v>
      </c>
      <c r="H5" s="451"/>
      <c r="I5" s="451"/>
      <c r="J5" s="451"/>
      <c r="K5" s="451" t="s">
        <v>124</v>
      </c>
      <c r="L5" s="451" t="s">
        <v>125</v>
      </c>
    </row>
    <row r="6" spans="1:15" ht="38.25" customHeight="1" x14ac:dyDescent="0.2">
      <c r="A6" s="451"/>
      <c r="B6" s="451"/>
      <c r="C6" s="451" t="s">
        <v>126</v>
      </c>
      <c r="D6" s="451" t="s">
        <v>127</v>
      </c>
      <c r="E6" s="451" t="s">
        <v>128</v>
      </c>
      <c r="F6" s="451"/>
      <c r="G6" s="451" t="s">
        <v>126</v>
      </c>
      <c r="H6" s="451" t="s">
        <v>127</v>
      </c>
      <c r="I6" s="451" t="s">
        <v>128</v>
      </c>
      <c r="J6" s="451"/>
      <c r="K6" s="451"/>
      <c r="L6" s="451"/>
    </row>
    <row r="7" spans="1:15" ht="25.5" x14ac:dyDescent="0.2">
      <c r="A7" s="451"/>
      <c r="B7" s="451"/>
      <c r="C7" s="451"/>
      <c r="D7" s="451"/>
      <c r="E7" s="452" t="s">
        <v>129</v>
      </c>
      <c r="F7" s="452" t="s">
        <v>130</v>
      </c>
      <c r="G7" s="451"/>
      <c r="H7" s="451"/>
      <c r="I7" s="452" t="s">
        <v>129</v>
      </c>
      <c r="J7" s="452" t="s">
        <v>130</v>
      </c>
      <c r="K7" s="451"/>
      <c r="L7" s="451"/>
    </row>
    <row r="8" spans="1:15" ht="66" customHeight="1" x14ac:dyDescent="0.2">
      <c r="A8" s="453" t="s">
        <v>131</v>
      </c>
      <c r="B8" s="453" t="s">
        <v>132</v>
      </c>
      <c r="C8" s="454">
        <f>'Release Calculations - 100k lbs'!AN8</f>
        <v>45.359237</v>
      </c>
      <c r="D8" s="454">
        <f>'Release Calculations - 100k lbs'!AE8</f>
        <v>45.359237</v>
      </c>
      <c r="E8" s="455">
        <f>'Release Calculations - 100k lbs'!V9</f>
        <v>1.5641116206896553</v>
      </c>
      <c r="F8" s="455">
        <f>'Release Calculations - 100k lbs'!V8</f>
        <v>0.15119745666666667</v>
      </c>
      <c r="G8" s="456">
        <f>'Release Calculations - 100k lbs'!AN10</f>
        <v>226.79618500000001</v>
      </c>
      <c r="H8" s="456">
        <f>'Release Calculations - 100k lbs'!AE10</f>
        <v>226.79618500000001</v>
      </c>
      <c r="I8" s="455">
        <f>'Release Calculations - 100k lbs'!V11</f>
        <v>7.8205581034482758</v>
      </c>
      <c r="J8" s="457">
        <f>'Release Calculations - 100k lbs'!V10</f>
        <v>0.75598728333333332</v>
      </c>
      <c r="K8" s="458">
        <f>'Release Calculations - 100k lbs'!G8</f>
        <v>1</v>
      </c>
      <c r="L8" s="459" t="s">
        <v>133</v>
      </c>
    </row>
    <row r="9" spans="1:15" ht="25.5" x14ac:dyDescent="0.2">
      <c r="A9" s="453" t="s">
        <v>134</v>
      </c>
      <c r="B9" s="459" t="s">
        <v>70</v>
      </c>
      <c r="C9" s="456">
        <f>'Release Calculations - 100k lbs'!AL8</f>
        <v>453.59237000000002</v>
      </c>
      <c r="D9" s="456">
        <f>'Release Calculations - 100k lbs'!AC8</f>
        <v>453.59237000000002</v>
      </c>
      <c r="E9" s="455">
        <f>'Release Calculations - 100k lbs'!T9</f>
        <v>15.641116206896552</v>
      </c>
      <c r="F9" s="455">
        <f>'Release Calculations - 100k lbs'!T8</f>
        <v>1.5119745666666666</v>
      </c>
      <c r="G9" s="460">
        <f>'Release Calculations - 100k lbs'!AL10</f>
        <v>453.59237000000002</v>
      </c>
      <c r="H9" s="460">
        <f>'Release Calculations - 100k lbs'!AC10</f>
        <v>453.59237000000002</v>
      </c>
      <c r="I9" s="455">
        <f>'Release Calculations - 100k lbs'!T11</f>
        <v>15.641116206896552</v>
      </c>
      <c r="J9" s="461">
        <f>'Release Calculations - 100k lbs'!T10</f>
        <v>1.5119745666666666</v>
      </c>
      <c r="K9" s="462">
        <f>'Release Calculations - 100k lbs'!G8</f>
        <v>1</v>
      </c>
      <c r="L9" s="459" t="s">
        <v>133</v>
      </c>
    </row>
    <row r="10" spans="1:15" x14ac:dyDescent="0.2">
      <c r="A10" s="463" t="s">
        <v>135</v>
      </c>
      <c r="B10" s="463"/>
      <c r="C10" s="463"/>
      <c r="D10" s="463"/>
      <c r="E10" s="463"/>
      <c r="F10" s="463"/>
      <c r="G10" s="463"/>
      <c r="H10" s="463"/>
      <c r="I10" s="463"/>
      <c r="J10" s="463"/>
      <c r="K10" s="463"/>
      <c r="L10" s="463"/>
    </row>
    <row r="11" spans="1:15" x14ac:dyDescent="0.2">
      <c r="B11" s="446"/>
    </row>
    <row r="12" spans="1:15" x14ac:dyDescent="0.2">
      <c r="A12" s="449" t="s">
        <v>136</v>
      </c>
      <c r="C12" s="450"/>
      <c r="D12" s="450"/>
      <c r="E12" s="450"/>
      <c r="F12" s="450"/>
      <c r="G12" s="450"/>
      <c r="H12" s="450"/>
      <c r="I12" s="450"/>
      <c r="J12" s="450"/>
      <c r="K12" s="450"/>
    </row>
    <row r="13" spans="1:15" ht="15" customHeight="1" x14ac:dyDescent="0.2">
      <c r="A13" s="451" t="s">
        <v>120</v>
      </c>
      <c r="B13" s="451" t="s">
        <v>121</v>
      </c>
      <c r="C13" s="451" t="s">
        <v>137</v>
      </c>
      <c r="D13" s="451"/>
      <c r="E13" s="451"/>
      <c r="F13" s="451"/>
      <c r="G13" s="451" t="s">
        <v>138</v>
      </c>
      <c r="H13" s="451"/>
      <c r="I13" s="451"/>
      <c r="J13" s="451"/>
      <c r="K13" s="464" t="s">
        <v>124</v>
      </c>
      <c r="L13" s="451" t="s">
        <v>125</v>
      </c>
      <c r="O13" s="446"/>
    </row>
    <row r="14" spans="1:15" ht="38.25" customHeight="1" x14ac:dyDescent="0.2">
      <c r="A14" s="451"/>
      <c r="B14" s="451"/>
      <c r="C14" s="451" t="s">
        <v>126</v>
      </c>
      <c r="D14" s="451" t="s">
        <v>127</v>
      </c>
      <c r="E14" s="451" t="s">
        <v>128</v>
      </c>
      <c r="F14" s="451"/>
      <c r="G14" s="451" t="s">
        <v>126</v>
      </c>
      <c r="H14" s="451" t="s">
        <v>127</v>
      </c>
      <c r="I14" s="451" t="s">
        <v>128</v>
      </c>
      <c r="J14" s="451"/>
      <c r="K14" s="465"/>
      <c r="L14" s="451"/>
      <c r="N14" s="466"/>
      <c r="O14" s="446"/>
    </row>
    <row r="15" spans="1:15" ht="25.5" x14ac:dyDescent="0.2">
      <c r="A15" s="451"/>
      <c r="B15" s="451"/>
      <c r="C15" s="451"/>
      <c r="D15" s="451"/>
      <c r="E15" s="452" t="s">
        <v>139</v>
      </c>
      <c r="F15" s="452" t="s">
        <v>140</v>
      </c>
      <c r="G15" s="451"/>
      <c r="H15" s="451"/>
      <c r="I15" s="452" t="s">
        <v>139</v>
      </c>
      <c r="J15" s="452" t="s">
        <v>140</v>
      </c>
      <c r="K15" s="467"/>
      <c r="L15" s="451"/>
      <c r="N15" s="466"/>
      <c r="O15" s="446"/>
    </row>
    <row r="16" spans="1:15" ht="63.75" x14ac:dyDescent="0.2">
      <c r="A16" s="468" t="s">
        <v>141</v>
      </c>
      <c r="B16" s="453" t="s">
        <v>142</v>
      </c>
      <c r="C16" s="457">
        <f>'Release Calculations - 100k lbs'!AH12</f>
        <v>0.27762981267241377</v>
      </c>
      <c r="D16" s="457">
        <f>'Release Calculations - 100k lbs'!Y12</f>
        <v>0.27762981267241377</v>
      </c>
      <c r="E16" s="457">
        <f>'Release Calculations - 100k lbs'!P13</f>
        <v>2.7762981267241377E-2</v>
      </c>
      <c r="F16" s="469">
        <f>'Release Calculations - 100k lbs'!P12</f>
        <v>4.6271635445402299E-3</v>
      </c>
      <c r="G16" s="457">
        <f>'Release Calculations - 100k lbs'!AH14</f>
        <v>0.33157602247000001</v>
      </c>
      <c r="H16" s="457">
        <f>'Release Calculations - 100k lbs'!Y14</f>
        <v>0.33157602247000001</v>
      </c>
      <c r="I16" s="457">
        <f>'Release Calculations - 100k lbs'!P15</f>
        <v>3.3157602246999998E-2</v>
      </c>
      <c r="J16" s="469">
        <f>'Release Calculations - 100k lbs'!P14</f>
        <v>5.5262670411666669E-3</v>
      </c>
      <c r="K16" s="458">
        <f>'Release Calculations - 100k lbs'!E12</f>
        <v>1</v>
      </c>
      <c r="L16" s="459" t="s">
        <v>133</v>
      </c>
      <c r="N16" s="470"/>
      <c r="O16" s="446"/>
    </row>
    <row r="17" spans="1:18" ht="63.75" x14ac:dyDescent="0.2">
      <c r="A17" s="468" t="s">
        <v>141</v>
      </c>
      <c r="B17" s="453" t="s">
        <v>143</v>
      </c>
      <c r="C17" s="455">
        <f>'Release Calculations - 100k lbs'!AJ12</f>
        <v>1.4620533374396552</v>
      </c>
      <c r="D17" s="455">
        <f>'Release Calculations - 100k lbs'!AA12</f>
        <v>1.4620533374396552</v>
      </c>
      <c r="E17" s="455">
        <f>'Release Calculations - 100k lbs'!R13</f>
        <v>0.14620533374396552</v>
      </c>
      <c r="F17" s="469">
        <f>'Release Calculations - 100k lbs'!R12</f>
        <v>2.4367555623994251E-2</v>
      </c>
      <c r="G17" s="455">
        <f>'Release Calculations - 100k lbs'!AJ14</f>
        <v>3.3656553854000002</v>
      </c>
      <c r="H17" s="455">
        <f>'Release Calculations - 100k lbs'!AA14</f>
        <v>3.3656553854000002</v>
      </c>
      <c r="I17" s="471">
        <f>'Release Calculations - 100k lbs'!R15</f>
        <v>0.33656553854000004</v>
      </c>
      <c r="J17" s="469">
        <f>'Release Calculations - 100k lbs'!R14</f>
        <v>5.6094256423333336E-2</v>
      </c>
      <c r="K17" s="458">
        <f>'Release Calculations - 100k lbs'!E13</f>
        <v>1</v>
      </c>
      <c r="L17" s="459" t="s">
        <v>133</v>
      </c>
      <c r="N17" s="470"/>
      <c r="O17" s="446"/>
    </row>
    <row r="18" spans="1:18" x14ac:dyDescent="0.2">
      <c r="A18" s="463" t="s">
        <v>135</v>
      </c>
      <c r="B18" s="463"/>
      <c r="C18" s="463"/>
      <c r="D18" s="463"/>
      <c r="E18" s="463"/>
      <c r="F18" s="463"/>
      <c r="G18" s="463"/>
      <c r="H18" s="463"/>
      <c r="I18" s="463"/>
      <c r="J18" s="463"/>
      <c r="K18" s="463"/>
      <c r="L18" s="463"/>
    </row>
    <row r="20" spans="1:18" x14ac:dyDescent="0.2">
      <c r="A20" s="449" t="s">
        <v>144</v>
      </c>
      <c r="C20" s="450"/>
      <c r="D20" s="450"/>
      <c r="E20" s="450"/>
      <c r="F20" s="450"/>
      <c r="G20" s="450"/>
      <c r="H20" s="450"/>
      <c r="I20" s="450"/>
      <c r="J20" s="450"/>
      <c r="K20" s="450"/>
    </row>
    <row r="21" spans="1:18" ht="12.75" customHeight="1" x14ac:dyDescent="0.2">
      <c r="A21" s="451" t="s">
        <v>120</v>
      </c>
      <c r="B21" s="451" t="s">
        <v>121</v>
      </c>
      <c r="C21" s="451" t="s">
        <v>137</v>
      </c>
      <c r="D21" s="451"/>
      <c r="E21" s="451"/>
      <c r="F21" s="451"/>
      <c r="G21" s="451" t="s">
        <v>145</v>
      </c>
      <c r="H21" s="451"/>
      <c r="I21" s="451"/>
      <c r="J21" s="451"/>
      <c r="K21" s="464" t="s">
        <v>124</v>
      </c>
      <c r="L21" s="451" t="s">
        <v>125</v>
      </c>
    </row>
    <row r="22" spans="1:18" x14ac:dyDescent="0.2">
      <c r="A22" s="451"/>
      <c r="B22" s="451"/>
      <c r="C22" s="451" t="s">
        <v>126</v>
      </c>
      <c r="D22" s="451" t="s">
        <v>127</v>
      </c>
      <c r="E22" s="451" t="s">
        <v>128</v>
      </c>
      <c r="F22" s="451"/>
      <c r="G22" s="472" t="s">
        <v>126</v>
      </c>
      <c r="H22" s="472" t="s">
        <v>127</v>
      </c>
      <c r="I22" s="472" t="s">
        <v>128</v>
      </c>
      <c r="J22" s="472"/>
      <c r="K22" s="465"/>
      <c r="L22" s="451"/>
      <c r="O22" s="466"/>
    </row>
    <row r="23" spans="1:18" ht="51" x14ac:dyDescent="0.2">
      <c r="A23" s="451"/>
      <c r="B23" s="451"/>
      <c r="C23" s="451"/>
      <c r="D23" s="451"/>
      <c r="E23" s="452" t="s">
        <v>146</v>
      </c>
      <c r="F23" s="452" t="s">
        <v>147</v>
      </c>
      <c r="G23" s="472"/>
      <c r="H23" s="472"/>
      <c r="I23" s="452" t="s">
        <v>146</v>
      </c>
      <c r="J23" s="452" t="s">
        <v>147</v>
      </c>
      <c r="K23" s="467"/>
      <c r="L23" s="451"/>
      <c r="O23" s="466"/>
    </row>
    <row r="24" spans="1:18" ht="63.75" x14ac:dyDescent="0.2">
      <c r="A24" s="468" t="s">
        <v>141</v>
      </c>
      <c r="B24" s="453" t="s">
        <v>142</v>
      </c>
      <c r="C24" s="455">
        <f>'Release Calculations - 100k lbs'!AH16</f>
        <v>2.6250317824339362</v>
      </c>
      <c r="D24" s="455">
        <f>'Release Calculations - 100k lbs'!Y16</f>
        <v>2.6250317824339362</v>
      </c>
      <c r="E24" s="473">
        <f>'Release Calculations - 100k lbs'!P17</f>
        <v>2.6250317824339362</v>
      </c>
      <c r="F24" s="457">
        <f>'Release Calculations - 100k lbs'!P16</f>
        <v>0.16406448640212101</v>
      </c>
      <c r="G24" s="455">
        <f>'Release Calculations - 100k lbs'!AH18</f>
        <v>2.6291308488625127</v>
      </c>
      <c r="H24" s="455">
        <f>'Release Calculations - 100k lbs'!Y18</f>
        <v>2.6291308488625127</v>
      </c>
      <c r="I24" s="473">
        <f>'Release Calculations - 100k lbs'!P19</f>
        <v>2.6291308488625127</v>
      </c>
      <c r="J24" s="457">
        <f>'Release Calculations - 100k lbs'!P18</f>
        <v>0.16432067805390704</v>
      </c>
      <c r="K24" s="458">
        <f>'Release Calculations - 100k lbs'!G16</f>
        <v>1</v>
      </c>
      <c r="L24" s="459" t="s">
        <v>133</v>
      </c>
      <c r="O24" s="470"/>
    </row>
    <row r="25" spans="1:18" ht="63.75" x14ac:dyDescent="0.2">
      <c r="A25" s="468" t="s">
        <v>141</v>
      </c>
      <c r="B25" s="453" t="s">
        <v>143</v>
      </c>
      <c r="C25" s="457">
        <f>'Release Calculations - 100k lbs'!AJ16</f>
        <v>0.48576651585535469</v>
      </c>
      <c r="D25" s="457">
        <f>'Release Calculations - 100k lbs'!AA16</f>
        <v>0.48576651585535469</v>
      </c>
      <c r="E25" s="471">
        <f>'Release Calculations - 100k lbs'!R17</f>
        <v>0.48576651585535469</v>
      </c>
      <c r="F25" s="469">
        <f>'Release Calculations - 100k lbs'!R16</f>
        <v>3.238443439035698E-2</v>
      </c>
      <c r="G25" s="455">
        <f>'Release Calculations - 100k lbs'!AJ18</f>
        <v>1.1934279962413454</v>
      </c>
      <c r="H25" s="455">
        <f>'Release Calculations - 100k lbs'!AA18</f>
        <v>1.1934279962413454</v>
      </c>
      <c r="I25" s="473">
        <f>'Release Calculations - 100k lbs'!R19</f>
        <v>1.1934279962413454</v>
      </c>
      <c r="J25" s="457">
        <f>'Release Calculations - 100k lbs'!R18</f>
        <v>7.9561866416089699E-2</v>
      </c>
      <c r="K25" s="458">
        <f>'Release Calculations - 100k lbs'!G18</f>
        <v>1</v>
      </c>
      <c r="L25" s="459" t="s">
        <v>133</v>
      </c>
      <c r="O25" s="470"/>
    </row>
    <row r="26" spans="1:18" x14ac:dyDescent="0.2">
      <c r="A26" s="474" t="s">
        <v>135</v>
      </c>
      <c r="B26" s="474"/>
      <c r="C26" s="474"/>
      <c r="D26" s="474"/>
      <c r="E26" s="474"/>
      <c r="F26" s="474"/>
      <c r="G26" s="474"/>
      <c r="H26" s="474"/>
      <c r="I26" s="474"/>
      <c r="J26" s="474"/>
      <c r="K26" s="474"/>
      <c r="L26" s="474"/>
    </row>
    <row r="28" spans="1:18" x14ac:dyDescent="0.2">
      <c r="A28" s="449" t="s">
        <v>148</v>
      </c>
      <c r="C28" s="450"/>
      <c r="D28" s="450"/>
      <c r="E28" s="450"/>
      <c r="F28" s="450"/>
      <c r="G28" s="450"/>
      <c r="H28" s="450"/>
      <c r="I28" s="450"/>
      <c r="J28" s="450"/>
      <c r="K28" s="450"/>
    </row>
    <row r="29" spans="1:18" ht="12.75" customHeight="1" x14ac:dyDescent="0.2">
      <c r="A29" s="464" t="s">
        <v>120</v>
      </c>
      <c r="B29" s="451" t="s">
        <v>121</v>
      </c>
      <c r="C29" s="451" t="s">
        <v>137</v>
      </c>
      <c r="D29" s="451"/>
      <c r="E29" s="451"/>
      <c r="F29" s="451"/>
      <c r="G29" s="451" t="s">
        <v>124</v>
      </c>
      <c r="H29" s="451" t="s">
        <v>125</v>
      </c>
      <c r="J29" s="466"/>
      <c r="K29" s="475"/>
      <c r="L29" s="475"/>
      <c r="M29" s="475"/>
      <c r="N29" s="446"/>
      <c r="O29" s="446"/>
      <c r="P29" s="446"/>
    </row>
    <row r="30" spans="1:18" ht="38.25" customHeight="1" x14ac:dyDescent="0.2">
      <c r="A30" s="465"/>
      <c r="B30" s="451"/>
      <c r="C30" s="464" t="s">
        <v>126</v>
      </c>
      <c r="D30" s="464" t="s">
        <v>127</v>
      </c>
      <c r="E30" s="451" t="s">
        <v>128</v>
      </c>
      <c r="F30" s="451"/>
      <c r="G30" s="451"/>
      <c r="H30" s="451"/>
      <c r="J30" s="475"/>
      <c r="K30" s="466"/>
      <c r="L30" s="466"/>
      <c r="M30" s="466"/>
      <c r="N30" s="446"/>
      <c r="O30" s="446"/>
      <c r="P30" s="446"/>
      <c r="Q30" s="446"/>
      <c r="R30" s="446"/>
    </row>
    <row r="31" spans="1:18" ht="51" x14ac:dyDescent="0.2">
      <c r="A31" s="467"/>
      <c r="B31" s="451"/>
      <c r="C31" s="467"/>
      <c r="D31" s="467"/>
      <c r="E31" s="452" t="s">
        <v>149</v>
      </c>
      <c r="F31" s="452" t="s">
        <v>150</v>
      </c>
      <c r="G31" s="451"/>
      <c r="H31" s="451"/>
      <c r="J31" s="475"/>
      <c r="K31" s="466"/>
      <c r="L31" s="466"/>
      <c r="M31" s="466"/>
      <c r="N31" s="446"/>
      <c r="O31" s="446"/>
      <c r="P31" s="446"/>
      <c r="Q31" s="446"/>
      <c r="R31" s="446"/>
    </row>
    <row r="32" spans="1:18" ht="63.75" x14ac:dyDescent="0.2">
      <c r="A32" s="468" t="s">
        <v>141</v>
      </c>
      <c r="B32" s="453" t="s">
        <v>142</v>
      </c>
      <c r="C32" s="457">
        <f>'Release Calculations - 100k lbs'!AH20</f>
        <v>0.33051052950185644</v>
      </c>
      <c r="D32" s="457">
        <f>'Release Calculations - 100k lbs'!Y20</f>
        <v>0.33051052950185644</v>
      </c>
      <c r="E32" s="457">
        <f>'Release Calculations - 100k lbs'!P21</f>
        <v>0.33051052950185644</v>
      </c>
      <c r="F32" s="469">
        <f>'Release Calculations - 100k lbs'!P20</f>
        <v>2.0656908093866028E-2</v>
      </c>
      <c r="G32" s="458">
        <f>'Release Calculations - 100k lbs'!G20</f>
        <v>1</v>
      </c>
      <c r="H32" s="459" t="s">
        <v>133</v>
      </c>
      <c r="J32" s="470"/>
      <c r="K32" s="476"/>
      <c r="L32" s="476"/>
      <c r="M32" s="477"/>
      <c r="N32" s="446"/>
      <c r="O32" s="446"/>
      <c r="P32" s="446"/>
      <c r="Q32" s="446"/>
      <c r="R32" s="446"/>
    </row>
    <row r="33" spans="1:18" ht="63.75" x14ac:dyDescent="0.2">
      <c r="A33" s="468" t="s">
        <v>141</v>
      </c>
      <c r="B33" s="453" t="s">
        <v>143</v>
      </c>
      <c r="C33" s="457">
        <f>'Release Calculations - 100k lbs'!AJ20</f>
        <v>0.46304651492966581</v>
      </c>
      <c r="D33" s="457">
        <f>'Release Calculations - 100k lbs'!AA20</f>
        <v>0.46304651492966581</v>
      </c>
      <c r="E33" s="457">
        <f>'Release Calculations - 100k lbs'!R21</f>
        <v>0.46304651492966581</v>
      </c>
      <c r="F33" s="457">
        <f>'Release Calculations - 100k lbs'!R20</f>
        <v>3.8587209577472151E-2</v>
      </c>
      <c r="G33" s="458">
        <f>'Release Calculations - 100k lbs'!G20</f>
        <v>1</v>
      </c>
      <c r="H33" s="459" t="s">
        <v>133</v>
      </c>
      <c r="J33" s="470"/>
      <c r="K33" s="478"/>
      <c r="L33" s="478"/>
      <c r="M33" s="478"/>
      <c r="N33" s="446"/>
      <c r="O33" s="446"/>
      <c r="P33" s="446"/>
      <c r="Q33" s="446"/>
      <c r="R33" s="446"/>
    </row>
    <row r="34" spans="1:18" ht="27.75" customHeight="1" x14ac:dyDescent="0.2">
      <c r="A34" s="474" t="s">
        <v>135</v>
      </c>
      <c r="B34" s="474"/>
      <c r="C34" s="474"/>
      <c r="D34" s="474"/>
      <c r="E34" s="474"/>
      <c r="F34" s="474"/>
      <c r="G34" s="474"/>
      <c r="H34" s="474"/>
    </row>
    <row r="35" spans="1:18" x14ac:dyDescent="0.2">
      <c r="B35" s="479"/>
      <c r="C35" s="476"/>
      <c r="D35" s="476"/>
      <c r="E35" s="476"/>
      <c r="F35" s="476"/>
      <c r="G35" s="480"/>
      <c r="H35" s="450"/>
      <c r="I35" s="450"/>
      <c r="J35" s="481"/>
      <c r="K35" s="478"/>
      <c r="L35" s="478"/>
      <c r="M35" s="478"/>
      <c r="N35" s="446"/>
      <c r="O35" s="446"/>
      <c r="P35" s="446"/>
      <c r="Q35" s="446"/>
      <c r="R35" s="446"/>
    </row>
    <row r="36" spans="1:18" ht="15" customHeight="1" x14ac:dyDescent="0.2">
      <c r="A36" s="464" t="s">
        <v>120</v>
      </c>
      <c r="B36" s="451" t="s">
        <v>151</v>
      </c>
      <c r="C36" s="451" t="s">
        <v>152</v>
      </c>
      <c r="D36" s="451"/>
      <c r="E36" s="451"/>
      <c r="F36" s="451" t="s">
        <v>125</v>
      </c>
      <c r="H36" s="446"/>
      <c r="K36" s="482"/>
    </row>
    <row r="37" spans="1:18" ht="15" customHeight="1" x14ac:dyDescent="0.2">
      <c r="A37" s="465"/>
      <c r="B37" s="451"/>
      <c r="C37" s="483" t="s">
        <v>153</v>
      </c>
      <c r="D37" s="451" t="s">
        <v>128</v>
      </c>
      <c r="E37" s="451"/>
      <c r="F37" s="451"/>
      <c r="H37" s="446"/>
      <c r="K37" s="482"/>
    </row>
    <row r="38" spans="1:18" ht="25.5" x14ac:dyDescent="0.2">
      <c r="A38" s="467"/>
      <c r="B38" s="451"/>
      <c r="C38" s="483"/>
      <c r="D38" s="484" t="s">
        <v>154</v>
      </c>
      <c r="E38" s="484" t="s">
        <v>155</v>
      </c>
      <c r="F38" s="451"/>
      <c r="H38" s="466"/>
      <c r="I38" s="446"/>
      <c r="J38" s="446"/>
      <c r="K38" s="446"/>
    </row>
    <row r="39" spans="1:18" ht="76.5" x14ac:dyDescent="0.2">
      <c r="A39" s="468" t="s">
        <v>156</v>
      </c>
      <c r="B39" s="485" t="s">
        <v>157</v>
      </c>
      <c r="C39" s="485" t="s">
        <v>158</v>
      </c>
      <c r="D39" s="485" t="s">
        <v>159</v>
      </c>
      <c r="E39" s="485" t="s">
        <v>160</v>
      </c>
      <c r="F39" s="459" t="s">
        <v>133</v>
      </c>
      <c r="H39" s="470"/>
      <c r="I39" s="446"/>
      <c r="J39" s="446"/>
      <c r="K39" s="446"/>
    </row>
    <row r="40" spans="1:18" ht="76.5" x14ac:dyDescent="0.2">
      <c r="A40" s="468" t="s">
        <v>156</v>
      </c>
      <c r="B40" s="485" t="s">
        <v>161</v>
      </c>
      <c r="C40" s="485" t="s">
        <v>162</v>
      </c>
      <c r="D40" s="485" t="s">
        <v>163</v>
      </c>
      <c r="E40" s="485" t="s">
        <v>164</v>
      </c>
      <c r="F40" s="459" t="s">
        <v>133</v>
      </c>
      <c r="H40" s="470"/>
      <c r="I40" s="446"/>
      <c r="J40" s="446"/>
      <c r="K40" s="446"/>
      <c r="L40" s="446"/>
    </row>
    <row r="41" spans="1:18" s="125" customFormat="1" ht="15.75" x14ac:dyDescent="0.25">
      <c r="A41" s="486" t="s">
        <v>906</v>
      </c>
      <c r="B41" s="447"/>
      <c r="D41" s="447"/>
      <c r="E41" s="487"/>
      <c r="F41" s="487"/>
      <c r="G41" s="487"/>
      <c r="H41" s="487"/>
      <c r="I41" s="487"/>
      <c r="L41" s="488"/>
      <c r="M41" s="488"/>
    </row>
    <row r="42" spans="1:18" s="125" customFormat="1" ht="15.75" x14ac:dyDescent="0.25">
      <c r="A42" s="486" t="s">
        <v>907</v>
      </c>
      <c r="B42" s="447"/>
      <c r="D42" s="447"/>
      <c r="E42" s="487"/>
      <c r="F42" s="487"/>
      <c r="G42" s="487"/>
      <c r="H42" s="487"/>
      <c r="L42" s="488"/>
      <c r="M42" s="489"/>
    </row>
    <row r="43" spans="1:18" s="125" customFormat="1" ht="15.75" x14ac:dyDescent="0.25">
      <c r="A43" s="486" t="s">
        <v>908</v>
      </c>
      <c r="B43" s="447"/>
      <c r="D43" s="447"/>
      <c r="E43" s="487"/>
      <c r="F43" s="487"/>
      <c r="G43" s="487"/>
      <c r="H43" s="487"/>
    </row>
    <row r="44" spans="1:18" s="125" customFormat="1" ht="16.5" x14ac:dyDescent="0.25">
      <c r="A44" s="490" t="s">
        <v>909</v>
      </c>
      <c r="B44" s="447"/>
      <c r="D44" s="447"/>
      <c r="E44" s="487"/>
      <c r="F44" s="487"/>
      <c r="G44" s="487"/>
      <c r="H44" s="487"/>
    </row>
    <row r="45" spans="1:18" x14ac:dyDescent="0.2">
      <c r="B45" s="479"/>
      <c r="C45" s="491"/>
      <c r="D45" s="492"/>
      <c r="E45" s="493"/>
      <c r="F45" s="493"/>
      <c r="G45" s="450"/>
      <c r="H45" s="450"/>
      <c r="I45" s="494"/>
      <c r="J45" s="494"/>
      <c r="K45" s="481"/>
      <c r="L45" s="446"/>
    </row>
    <row r="47" spans="1:18" x14ac:dyDescent="0.2">
      <c r="A47" s="449" t="s">
        <v>165</v>
      </c>
      <c r="C47" s="450"/>
      <c r="D47" s="450"/>
      <c r="E47" s="450"/>
      <c r="F47" s="450"/>
      <c r="G47" s="450"/>
      <c r="H47" s="450"/>
      <c r="I47" s="450"/>
      <c r="J47" s="450"/>
      <c r="K47" s="450"/>
    </row>
    <row r="48" spans="1:18" ht="15" customHeight="1" x14ac:dyDescent="0.2">
      <c r="A48" s="464" t="s">
        <v>120</v>
      </c>
      <c r="B48" s="451" t="s">
        <v>121</v>
      </c>
      <c r="C48" s="451" t="s">
        <v>122</v>
      </c>
      <c r="D48" s="451"/>
      <c r="E48" s="451"/>
      <c r="F48" s="451"/>
      <c r="G48" s="451" t="s">
        <v>123</v>
      </c>
      <c r="H48" s="451"/>
      <c r="I48" s="451"/>
      <c r="J48" s="451"/>
      <c r="K48" s="464" t="s">
        <v>124</v>
      </c>
      <c r="L48" s="451" t="s">
        <v>125</v>
      </c>
    </row>
    <row r="49" spans="1:15" ht="38.25" customHeight="1" x14ac:dyDescent="0.2">
      <c r="A49" s="465"/>
      <c r="B49" s="451"/>
      <c r="C49" s="451" t="s">
        <v>126</v>
      </c>
      <c r="D49" s="451" t="s">
        <v>127</v>
      </c>
      <c r="E49" s="451" t="s">
        <v>128</v>
      </c>
      <c r="F49" s="451"/>
      <c r="G49" s="451" t="s">
        <v>126</v>
      </c>
      <c r="H49" s="451" t="s">
        <v>127</v>
      </c>
      <c r="I49" s="451" t="s">
        <v>128</v>
      </c>
      <c r="J49" s="451"/>
      <c r="K49" s="465"/>
      <c r="L49" s="451"/>
      <c r="N49" s="475"/>
    </row>
    <row r="50" spans="1:15" ht="25.5" x14ac:dyDescent="0.2">
      <c r="A50" s="467"/>
      <c r="B50" s="451"/>
      <c r="C50" s="451"/>
      <c r="D50" s="451"/>
      <c r="E50" s="452" t="s">
        <v>166</v>
      </c>
      <c r="F50" s="452" t="s">
        <v>167</v>
      </c>
      <c r="G50" s="451"/>
      <c r="H50" s="451"/>
      <c r="I50" s="452" t="s">
        <v>166</v>
      </c>
      <c r="J50" s="452" t="s">
        <v>167</v>
      </c>
      <c r="K50" s="467"/>
      <c r="L50" s="451"/>
      <c r="N50" s="475"/>
    </row>
    <row r="51" spans="1:15" ht="63.75" x14ac:dyDescent="0.2">
      <c r="A51" s="495" t="s">
        <v>168</v>
      </c>
      <c r="B51" s="453" t="s">
        <v>169</v>
      </c>
      <c r="C51" s="454">
        <f>'Release Calculations - 100k lbs'!AN24</f>
        <v>45.359237</v>
      </c>
      <c r="D51" s="454">
        <f>'Release Calculations - 100k lbs'!AE24</f>
        <v>45.359237</v>
      </c>
      <c r="E51" s="455">
        <f>'Release Calculations - 100k lbs'!V25</f>
        <v>2.8349523125</v>
      </c>
      <c r="F51" s="457">
        <f>'Release Calculations - 100k lbs'!V24</f>
        <v>0.32399454999999999</v>
      </c>
      <c r="G51" s="456">
        <f>'Release Calculations - 100k lbs'!AN26</f>
        <v>226.79618500000001</v>
      </c>
      <c r="H51" s="456">
        <f>'Release Calculations - 100k lbs'!AE26</f>
        <v>226.79618500000001</v>
      </c>
      <c r="I51" s="455">
        <f>'Release Calculations - 100k lbs'!V27</f>
        <v>14.174761562500001</v>
      </c>
      <c r="J51" s="455">
        <f>'Release Calculations - 100k lbs'!V26</f>
        <v>1.6199727500000001</v>
      </c>
      <c r="K51" s="458">
        <f>'Release Calculations - 100k lbs'!G24</f>
        <v>1</v>
      </c>
      <c r="L51" s="459" t="s">
        <v>133</v>
      </c>
      <c r="N51" s="481"/>
    </row>
    <row r="52" spans="1:15" ht="51" x14ac:dyDescent="0.2">
      <c r="A52" s="495" t="s">
        <v>170</v>
      </c>
      <c r="B52" s="453" t="s">
        <v>171</v>
      </c>
      <c r="C52" s="456">
        <f>'Release Calculations - 100k lbs'!AO24</f>
        <v>453.59237000000002</v>
      </c>
      <c r="D52" s="456">
        <f>'Release Calculations - 100k lbs'!AF24</f>
        <v>453.59237000000002</v>
      </c>
      <c r="E52" s="454">
        <f>'Release Calculations - 100k lbs'!W25</f>
        <v>28.349523125000001</v>
      </c>
      <c r="F52" s="455">
        <f>'Release Calculations - 100k lbs'!W24</f>
        <v>3.2399455000000001</v>
      </c>
      <c r="G52" s="456">
        <f>'Release Calculations - 100k lbs'!AO26</f>
        <v>453.59237000000002</v>
      </c>
      <c r="H52" s="456">
        <f>'Release Calculations - 100k lbs'!AF26</f>
        <v>453.59237000000002</v>
      </c>
      <c r="I52" s="454">
        <f>'Release Calculations - 100k lbs'!W27</f>
        <v>28.349523125000001</v>
      </c>
      <c r="J52" s="455">
        <f>'Release Calculations - 100k lbs'!W26</f>
        <v>3.2399455000000001</v>
      </c>
      <c r="K52" s="458">
        <f>'Release Calculations - 100k lbs'!G24</f>
        <v>1</v>
      </c>
      <c r="L52" s="459" t="s">
        <v>133</v>
      </c>
      <c r="N52" s="481"/>
    </row>
    <row r="53" spans="1:15" ht="25.5" x14ac:dyDescent="0.2">
      <c r="A53" s="495" t="s">
        <v>172</v>
      </c>
      <c r="B53" s="459" t="s">
        <v>70</v>
      </c>
      <c r="C53" s="496">
        <f>'Release Calculations - 100k lbs'!AL24</f>
        <v>453.59237000000002</v>
      </c>
      <c r="D53" s="496">
        <f>'Release Calculations - 100k lbs'!AC24</f>
        <v>453.59237000000002</v>
      </c>
      <c r="E53" s="454">
        <f>'Release Calculations - 100k lbs'!T25</f>
        <v>28.349523125000001</v>
      </c>
      <c r="F53" s="455">
        <f>'Release Calculations - 100k lbs'!T24</f>
        <v>3.2399455000000001</v>
      </c>
      <c r="G53" s="496">
        <f>'Release Calculations - 100k lbs'!AL26</f>
        <v>453.59237000000002</v>
      </c>
      <c r="H53" s="496">
        <f>'Release Calculations - 100k lbs'!AC26</f>
        <v>453.59237000000002</v>
      </c>
      <c r="I53" s="454">
        <f>'Release Calculations - 100k lbs'!T27</f>
        <v>28.349523125000001</v>
      </c>
      <c r="J53" s="455">
        <f>'Release Calculations - 100k lbs'!T26</f>
        <v>3.2399455000000001</v>
      </c>
      <c r="K53" s="458">
        <f>'Release Calculations - 100k lbs'!G24</f>
        <v>1</v>
      </c>
      <c r="L53" s="459" t="s">
        <v>133</v>
      </c>
      <c r="N53" s="481"/>
    </row>
    <row r="54" spans="1:15" ht="25.5" x14ac:dyDescent="0.2">
      <c r="A54" s="495" t="s">
        <v>173</v>
      </c>
      <c r="B54" s="453" t="s">
        <v>174</v>
      </c>
      <c r="C54" s="456">
        <f>'Release Calculations - 100k lbs'!AP24</f>
        <v>453.59237000000002</v>
      </c>
      <c r="D54" s="456">
        <f>'Release Calculations - 100k lbs'!AG24</f>
        <v>453.59237000000002</v>
      </c>
      <c r="E54" s="455">
        <f>'Release Calculations - 100k lbs'!X25</f>
        <v>28.349523125000001</v>
      </c>
      <c r="F54" s="455">
        <f>'Release Calculations - 100k lbs'!X24</f>
        <v>3.2399455000000001</v>
      </c>
      <c r="G54" s="456">
        <f>'Release Calculations - 100k lbs'!AP26</f>
        <v>1133.9809250000001</v>
      </c>
      <c r="H54" s="456">
        <f>'Release Calculations - 100k lbs'!AG26</f>
        <v>1133.9809250000001</v>
      </c>
      <c r="I54" s="455">
        <f>'Release Calculations - 100k lbs'!X27</f>
        <v>70.873807812500004</v>
      </c>
      <c r="J54" s="455">
        <f>'Release Calculations - 100k lbs'!X26</f>
        <v>8.0998637500000008</v>
      </c>
      <c r="K54" s="458">
        <f>'Release Calculations - 100k lbs'!G24</f>
        <v>1</v>
      </c>
      <c r="L54" s="459" t="s">
        <v>133</v>
      </c>
      <c r="N54" s="481"/>
    </row>
    <row r="55" spans="1:15" x14ac:dyDescent="0.2">
      <c r="A55" s="463" t="s">
        <v>135</v>
      </c>
      <c r="B55" s="463"/>
      <c r="C55" s="463"/>
      <c r="D55" s="463"/>
      <c r="E55" s="463"/>
      <c r="F55" s="463"/>
      <c r="G55" s="463"/>
      <c r="H55" s="463"/>
      <c r="I55" s="463"/>
      <c r="J55" s="463"/>
      <c r="K55" s="463"/>
      <c r="L55" s="463"/>
    </row>
    <row r="57" spans="1:15" x14ac:dyDescent="0.2">
      <c r="A57" s="449" t="s">
        <v>175</v>
      </c>
      <c r="C57" s="450"/>
      <c r="D57" s="450"/>
      <c r="E57" s="450"/>
      <c r="F57" s="450"/>
      <c r="G57" s="450"/>
      <c r="H57" s="450"/>
      <c r="I57" s="450"/>
      <c r="J57" s="450"/>
      <c r="K57" s="450"/>
    </row>
    <row r="58" spans="1:15" ht="15" customHeight="1" x14ac:dyDescent="0.2">
      <c r="A58" s="464" t="s">
        <v>120</v>
      </c>
      <c r="B58" s="451" t="s">
        <v>121</v>
      </c>
      <c r="C58" s="451" t="s">
        <v>122</v>
      </c>
      <c r="D58" s="451"/>
      <c r="E58" s="451"/>
      <c r="F58" s="451"/>
      <c r="G58" s="451" t="s">
        <v>123</v>
      </c>
      <c r="H58" s="451"/>
      <c r="I58" s="451"/>
      <c r="J58" s="451"/>
      <c r="K58" s="451" t="s">
        <v>124</v>
      </c>
      <c r="L58" s="451" t="s">
        <v>125</v>
      </c>
      <c r="O58" s="446"/>
    </row>
    <row r="59" spans="1:15" x14ac:dyDescent="0.2">
      <c r="A59" s="465"/>
      <c r="B59" s="451"/>
      <c r="C59" s="451" t="s">
        <v>126</v>
      </c>
      <c r="D59" s="451" t="s">
        <v>127</v>
      </c>
      <c r="E59" s="451" t="s">
        <v>128</v>
      </c>
      <c r="F59" s="451"/>
      <c r="G59" s="451" t="s">
        <v>126</v>
      </c>
      <c r="H59" s="451" t="s">
        <v>127</v>
      </c>
      <c r="I59" s="451" t="s">
        <v>128</v>
      </c>
      <c r="J59" s="451"/>
      <c r="K59" s="451"/>
      <c r="L59" s="451"/>
      <c r="N59" s="475"/>
      <c r="O59" s="446"/>
    </row>
    <row r="60" spans="1:15" ht="25.5" x14ac:dyDescent="0.2">
      <c r="A60" s="467"/>
      <c r="B60" s="451"/>
      <c r="C60" s="451"/>
      <c r="D60" s="451"/>
      <c r="E60" s="452" t="s">
        <v>166</v>
      </c>
      <c r="F60" s="452" t="s">
        <v>130</v>
      </c>
      <c r="G60" s="451"/>
      <c r="H60" s="451"/>
      <c r="I60" s="452" t="s">
        <v>166</v>
      </c>
      <c r="J60" s="452" t="s">
        <v>130</v>
      </c>
      <c r="K60" s="451"/>
      <c r="L60" s="451"/>
      <c r="N60" s="475"/>
      <c r="O60" s="446"/>
    </row>
    <row r="61" spans="1:15" ht="63.75" x14ac:dyDescent="0.2">
      <c r="A61" s="495" t="s">
        <v>176</v>
      </c>
      <c r="B61" s="453" t="s">
        <v>169</v>
      </c>
      <c r="C61" s="455">
        <f>'Release Calculations - 100k lbs'!AN29</f>
        <v>4.5868891348314609</v>
      </c>
      <c r="D61" s="455">
        <f>'Release Calculations - 100k lbs'!AE29</f>
        <v>2.2934445674157304</v>
      </c>
      <c r="E61" s="457">
        <f>'Release Calculations - 100k lbs'!V30</f>
        <v>0.14334028546348315</v>
      </c>
      <c r="F61" s="469">
        <f>'Release Calculations - 100k lbs'!V29</f>
        <v>7.6448152247191011E-3</v>
      </c>
      <c r="G61" s="454">
        <f>'Release Calculations - 100k lbs'!AN31</f>
        <v>20.411656650000001</v>
      </c>
      <c r="H61" s="455">
        <f>'Release Calculations - 100k lbs'!AE31</f>
        <v>10.205828325000001</v>
      </c>
      <c r="I61" s="457">
        <f>'Release Calculations - 100k lbs'!V32</f>
        <v>0.63786427031250004</v>
      </c>
      <c r="J61" s="469">
        <f>'Release Calculations - 100k lbs'!V31</f>
        <v>3.4019427750000004E-2</v>
      </c>
      <c r="K61" s="458">
        <f>'Release Calculations - 100k lbs'!G29</f>
        <v>2</v>
      </c>
      <c r="L61" s="459" t="s">
        <v>133</v>
      </c>
      <c r="N61" s="470"/>
      <c r="O61" s="446"/>
    </row>
    <row r="62" spans="1:15" ht="25.5" x14ac:dyDescent="0.2">
      <c r="A62" s="495" t="s">
        <v>173</v>
      </c>
      <c r="B62" s="453" t="s">
        <v>174</v>
      </c>
      <c r="C62" s="497">
        <f>'Release Calculations - 100k lbs'!AO29</f>
        <v>907.18474000000003</v>
      </c>
      <c r="D62" s="497">
        <f>'Release Calculations - 100k lbs'!AF29</f>
        <v>453.59237000000002</v>
      </c>
      <c r="E62" s="498">
        <f>'Release Calculations - 100k lbs'!W30</f>
        <v>28.349523125000001</v>
      </c>
      <c r="F62" s="499">
        <f>'Release Calculations - 100k lbs'!W29</f>
        <v>1.5119745666666666</v>
      </c>
      <c r="G62" s="497">
        <f>'Release Calculations - 100k lbs'!AO31</f>
        <v>2267.9618500000001</v>
      </c>
      <c r="H62" s="497">
        <f>'Release Calculations - 100k lbs'!AF31</f>
        <v>1133.9809250000001</v>
      </c>
      <c r="I62" s="498">
        <f>'Release Calculations - 100k lbs'!W32</f>
        <v>70.873807812500004</v>
      </c>
      <c r="J62" s="500">
        <f>'Release Calculations - 100k lbs'!W31</f>
        <v>3.7799364166666667</v>
      </c>
      <c r="K62" s="458">
        <f>'Release Calculations - 100k lbs'!G29</f>
        <v>2</v>
      </c>
      <c r="L62" s="459" t="s">
        <v>133</v>
      </c>
      <c r="N62" s="470"/>
      <c r="O62" s="446"/>
    </row>
    <row r="63" spans="1:15" x14ac:dyDescent="0.2">
      <c r="A63" s="463" t="s">
        <v>135</v>
      </c>
      <c r="B63" s="463"/>
      <c r="C63" s="463"/>
      <c r="D63" s="463"/>
      <c r="E63" s="463"/>
      <c r="F63" s="463"/>
      <c r="G63" s="463"/>
      <c r="H63" s="463"/>
      <c r="I63" s="463"/>
      <c r="J63" s="463"/>
      <c r="K63" s="463"/>
      <c r="L63" s="463"/>
    </row>
    <row r="65" spans="1:17" ht="13.5" thickBot="1" x14ac:dyDescent="0.25">
      <c r="A65" s="449" t="s">
        <v>177</v>
      </c>
    </row>
    <row r="66" spans="1:17" ht="13.5" thickBot="1" x14ac:dyDescent="0.25">
      <c r="A66" s="501" t="s">
        <v>91</v>
      </c>
      <c r="B66" s="502"/>
    </row>
    <row r="67" spans="1:17" x14ac:dyDescent="0.2">
      <c r="A67" s="503"/>
    </row>
    <row r="69" spans="1:17" x14ac:dyDescent="0.2">
      <c r="A69" s="449" t="s">
        <v>178</v>
      </c>
      <c r="C69" s="450"/>
      <c r="D69" s="450"/>
      <c r="E69" s="450"/>
      <c r="F69" s="450"/>
      <c r="G69" s="450"/>
      <c r="H69" s="450"/>
      <c r="I69" s="450"/>
      <c r="J69" s="450"/>
      <c r="K69" s="450"/>
    </row>
    <row r="70" spans="1:17" ht="15.75" customHeight="1" x14ac:dyDescent="0.2">
      <c r="A70" s="464" t="s">
        <v>120</v>
      </c>
      <c r="B70" s="451" t="s">
        <v>121</v>
      </c>
      <c r="C70" s="504" t="s">
        <v>122</v>
      </c>
      <c r="D70" s="505"/>
      <c r="E70" s="505"/>
      <c r="F70" s="505"/>
      <c r="G70" s="506"/>
      <c r="H70" s="504" t="s">
        <v>123</v>
      </c>
      <c r="I70" s="505"/>
      <c r="J70" s="505"/>
      <c r="K70" s="505"/>
      <c r="L70" s="506"/>
      <c r="M70" s="451" t="s">
        <v>125</v>
      </c>
      <c r="Q70" s="446"/>
    </row>
    <row r="71" spans="1:17" ht="38.25" customHeight="1" x14ac:dyDescent="0.2">
      <c r="A71" s="465"/>
      <c r="B71" s="451"/>
      <c r="C71" s="451" t="s">
        <v>126</v>
      </c>
      <c r="D71" s="464" t="s">
        <v>127</v>
      </c>
      <c r="E71" s="464" t="s">
        <v>128</v>
      </c>
      <c r="F71" s="464" t="s">
        <v>179</v>
      </c>
      <c r="G71" s="451" t="s">
        <v>124</v>
      </c>
      <c r="H71" s="464" t="s">
        <v>126</v>
      </c>
      <c r="I71" s="464" t="s">
        <v>127</v>
      </c>
      <c r="J71" s="464" t="s">
        <v>128</v>
      </c>
      <c r="K71" s="451" t="s">
        <v>179</v>
      </c>
      <c r="L71" s="451" t="s">
        <v>124</v>
      </c>
      <c r="M71" s="451"/>
      <c r="O71" s="466"/>
      <c r="P71" s="466"/>
      <c r="Q71" s="446"/>
    </row>
    <row r="72" spans="1:17" x14ac:dyDescent="0.2">
      <c r="A72" s="467"/>
      <c r="B72" s="451"/>
      <c r="C72" s="451"/>
      <c r="D72" s="467"/>
      <c r="E72" s="467"/>
      <c r="F72" s="467"/>
      <c r="G72" s="451"/>
      <c r="H72" s="467"/>
      <c r="I72" s="467"/>
      <c r="J72" s="467"/>
      <c r="K72" s="451"/>
      <c r="L72" s="451"/>
      <c r="M72" s="451"/>
      <c r="O72" s="466"/>
      <c r="P72" s="466"/>
      <c r="Q72" s="446"/>
    </row>
    <row r="73" spans="1:17" ht="38.25" x14ac:dyDescent="0.2">
      <c r="A73" s="495" t="s">
        <v>176</v>
      </c>
      <c r="B73" s="453" t="s">
        <v>180</v>
      </c>
      <c r="C73" s="498">
        <f>'Release Calculations - 100k lbs'!AN36</f>
        <v>2.2934445674157304</v>
      </c>
      <c r="D73" s="507">
        <f>'Release Calculations - 100k lbs'!AE36</f>
        <v>8.5068418672690303E-4</v>
      </c>
      <c r="E73" s="507">
        <f>'Release Calculations - 100k lbs'!V36</f>
        <v>8.5068418672690303E-4</v>
      </c>
      <c r="F73" s="497">
        <v>1</v>
      </c>
      <c r="G73" s="508">
        <v>2696</v>
      </c>
      <c r="H73" s="498">
        <f>'Release Calculations - 100k lbs'!AN38</f>
        <v>10.205828325000001</v>
      </c>
      <c r="I73" s="500">
        <f>'Release Calculations - 100k lbs'!AE38</f>
        <v>0.30017142132352942</v>
      </c>
      <c r="J73" s="500">
        <f>'Release Calculations - 100k lbs'!V38</f>
        <v>0.10005714044117647</v>
      </c>
      <c r="K73" s="456">
        <v>3</v>
      </c>
      <c r="L73" s="456">
        <v>34</v>
      </c>
      <c r="M73" s="459" t="s">
        <v>133</v>
      </c>
      <c r="O73" s="481"/>
      <c r="P73" s="470"/>
      <c r="Q73" s="446"/>
    </row>
    <row r="74" spans="1:17" ht="36.75" customHeight="1" x14ac:dyDescent="0.2">
      <c r="A74" s="495" t="s">
        <v>173</v>
      </c>
      <c r="B74" s="453" t="s">
        <v>174</v>
      </c>
      <c r="C74" s="456">
        <f>'Release Calculations - 100k lbs'!AO36</f>
        <v>453.59237000000007</v>
      </c>
      <c r="D74" s="457">
        <f>'Release Calculations - 100k lbs'!AF36</f>
        <v>0.16824642804154305</v>
      </c>
      <c r="E74" s="457">
        <f>'Release Calculations - 100k lbs'!W36</f>
        <v>0.16824642804154305</v>
      </c>
      <c r="F74" s="456">
        <v>1</v>
      </c>
      <c r="G74" s="509">
        <v>2696</v>
      </c>
      <c r="H74" s="456">
        <f>'Release Calculations - 100k lbs'!AO38</f>
        <v>1133.9809250000001</v>
      </c>
      <c r="I74" s="454">
        <f>'Release Calculations - 100k lbs'!AF38</f>
        <v>33.352380147058824</v>
      </c>
      <c r="J74" s="454">
        <f>'Release Calculations - 100k lbs'!W38</f>
        <v>11.117460049019607</v>
      </c>
      <c r="K74" s="456">
        <v>3</v>
      </c>
      <c r="L74" s="456">
        <v>34</v>
      </c>
      <c r="M74" s="459" t="s">
        <v>133</v>
      </c>
      <c r="O74" s="481"/>
      <c r="P74" s="470"/>
      <c r="Q74" s="446"/>
    </row>
    <row r="75" spans="1:17" x14ac:dyDescent="0.2">
      <c r="A75" s="463" t="s">
        <v>135</v>
      </c>
      <c r="B75" s="463"/>
      <c r="C75" s="463"/>
      <c r="D75" s="463"/>
      <c r="E75" s="463"/>
      <c r="F75" s="463"/>
      <c r="G75" s="463"/>
      <c r="H75" s="463"/>
      <c r="I75" s="463"/>
      <c r="J75" s="463"/>
      <c r="K75" s="463"/>
      <c r="L75" s="463"/>
      <c r="M75" s="463"/>
    </row>
    <row r="77" spans="1:17" x14ac:dyDescent="0.2">
      <c r="A77" s="449" t="s">
        <v>181</v>
      </c>
      <c r="C77" s="450"/>
      <c r="D77" s="450"/>
      <c r="E77" s="450"/>
      <c r="F77" s="450"/>
      <c r="G77" s="450"/>
      <c r="H77" s="450"/>
      <c r="I77" s="450"/>
      <c r="J77" s="450"/>
      <c r="K77" s="450"/>
    </row>
    <row r="78" spans="1:17" ht="15" customHeight="1" x14ac:dyDescent="0.2">
      <c r="A78" s="451" t="s">
        <v>120</v>
      </c>
      <c r="B78" s="510" t="s">
        <v>121</v>
      </c>
      <c r="C78" s="504" t="s">
        <v>122</v>
      </c>
      <c r="D78" s="505"/>
      <c r="E78" s="505"/>
      <c r="F78" s="505"/>
      <c r="G78" s="506"/>
      <c r="H78" s="504" t="s">
        <v>123</v>
      </c>
      <c r="I78" s="505"/>
      <c r="J78" s="505"/>
      <c r="K78" s="505"/>
      <c r="L78" s="506"/>
      <c r="M78" s="451" t="s">
        <v>125</v>
      </c>
    </row>
    <row r="79" spans="1:17" ht="38.25" x14ac:dyDescent="0.2">
      <c r="A79" s="451"/>
      <c r="B79" s="510"/>
      <c r="C79" s="452" t="s">
        <v>182</v>
      </c>
      <c r="D79" s="452" t="s">
        <v>127</v>
      </c>
      <c r="E79" s="452" t="s">
        <v>128</v>
      </c>
      <c r="F79" s="452" t="s">
        <v>179</v>
      </c>
      <c r="G79" s="452" t="s">
        <v>124</v>
      </c>
      <c r="H79" s="452" t="s">
        <v>182</v>
      </c>
      <c r="I79" s="452" t="s">
        <v>127</v>
      </c>
      <c r="J79" s="452" t="s">
        <v>128</v>
      </c>
      <c r="K79" s="452" t="s">
        <v>179</v>
      </c>
      <c r="L79" s="452" t="s">
        <v>124</v>
      </c>
      <c r="M79" s="451"/>
    </row>
    <row r="80" spans="1:17" ht="38.25" x14ac:dyDescent="0.2">
      <c r="A80" s="468" t="s">
        <v>183</v>
      </c>
      <c r="B80" s="453" t="s">
        <v>184</v>
      </c>
      <c r="C80" s="511">
        <f>'Release Calculations - 100k lbs'!AN40</f>
        <v>20.615773216499996</v>
      </c>
      <c r="D80" s="512">
        <f>'Release Calculations - 100k lbs'!AE40</f>
        <v>7.5710892618694348E-4</v>
      </c>
      <c r="E80" s="512">
        <f>'Release Calculations - 100k lbs'!V40</f>
        <v>7.5710892618694348E-4</v>
      </c>
      <c r="F80" s="513">
        <f>'Release Calculations - 100k lbs'!H40</f>
        <v>1</v>
      </c>
      <c r="G80" s="514">
        <f>'Release Calculations - 100k lbs'!G40</f>
        <v>27229.599999999999</v>
      </c>
      <c r="H80" s="497">
        <f>'Release Calculations - 100k lbs'!AN41</f>
        <v>231.63790130898877</v>
      </c>
      <c r="I80" s="499">
        <f>'Release Calculations - 100k lbs'!AE41</f>
        <v>0.67454251982815605</v>
      </c>
      <c r="J80" s="499">
        <f>'Release Calculations - 100k lbs'!V41</f>
        <v>0.67454251982815605</v>
      </c>
      <c r="K80" s="515">
        <f>'Release Calculations - 100k lbs'!H41</f>
        <v>1</v>
      </c>
      <c r="L80" s="497">
        <f>'Release Calculations - 100k lbs'!G41</f>
        <v>343.4</v>
      </c>
      <c r="M80" s="515" t="s">
        <v>133</v>
      </c>
    </row>
    <row r="81" spans="1:14" ht="25.5" x14ac:dyDescent="0.2">
      <c r="A81" s="468" t="s">
        <v>185</v>
      </c>
      <c r="B81" s="453" t="s">
        <v>186</v>
      </c>
      <c r="C81" s="516">
        <f>'Release Calculations - 100k lbs'!AL40</f>
        <v>320689.80558999995</v>
      </c>
      <c r="D81" s="500">
        <f>'Release Calculations - 100k lbs'!AC40</f>
        <v>11.777249962908011</v>
      </c>
      <c r="E81" s="500">
        <f>'Release Calculations - 100k lbs'!T40</f>
        <v>11.777249962908011</v>
      </c>
      <c r="F81" s="513">
        <f>'Release Calculations - 100k lbs'!H40</f>
        <v>1</v>
      </c>
      <c r="G81" s="514">
        <f>'Release Calculations - 100k lbs'!G40</f>
        <v>27229.599999999999</v>
      </c>
      <c r="H81" s="514">
        <f>'Release Calculations - 100k lbs'!AL41</f>
        <v>320689.80558999995</v>
      </c>
      <c r="I81" s="497">
        <f>'Release Calculations - 100k lbs'!AC41</f>
        <v>933.86664411764696</v>
      </c>
      <c r="J81" s="497">
        <f>'Release Calculations - 100k lbs'!T41</f>
        <v>933.86664411764696</v>
      </c>
      <c r="K81" s="515">
        <f>'Release Calculations - 100k lbs'!H41</f>
        <v>1</v>
      </c>
      <c r="L81" s="497">
        <f>'Release Calculations - 100k lbs'!G41</f>
        <v>343.4</v>
      </c>
      <c r="M81" s="515" t="s">
        <v>133</v>
      </c>
    </row>
    <row r="82" spans="1:14" ht="38.25" x14ac:dyDescent="0.2">
      <c r="A82" s="468" t="s">
        <v>185</v>
      </c>
      <c r="B82" s="453" t="s">
        <v>187</v>
      </c>
      <c r="C82" s="516">
        <f>'Release Calculations - 100k lbs'!AM40</f>
        <v>137438.48810999998</v>
      </c>
      <c r="D82" s="500">
        <f>'Release Calculations - 100k lbs'!AD40</f>
        <v>5.0473928412462898</v>
      </c>
      <c r="E82" s="500">
        <f>'Release Calculations - 100k lbs'!U40</f>
        <v>5.0473928412462898</v>
      </c>
      <c r="F82" s="513">
        <f>'Release Calculations - 100k lbs'!H40</f>
        <v>1</v>
      </c>
      <c r="G82" s="514">
        <f>'Release Calculations - 100k lbs'!G40</f>
        <v>27229.599999999999</v>
      </c>
      <c r="H82" s="514">
        <f>'Release Calculations - 100k lbs'!AM41</f>
        <v>137438.48811000001</v>
      </c>
      <c r="I82" s="497">
        <f>'Release Calculations - 100k lbs'!AD41</f>
        <v>400.22856176470589</v>
      </c>
      <c r="J82" s="497">
        <f>'Release Calculations - 100k lbs'!U41</f>
        <v>400.22856176470589</v>
      </c>
      <c r="K82" s="515">
        <f>'Release Calculations - 100k lbs'!H41</f>
        <v>1</v>
      </c>
      <c r="L82" s="497">
        <f>'Release Calculations - 100k lbs'!G41</f>
        <v>343.4</v>
      </c>
      <c r="M82" s="515" t="s">
        <v>133</v>
      </c>
    </row>
    <row r="83" spans="1:14" x14ac:dyDescent="0.2">
      <c r="A83" s="463" t="s">
        <v>135</v>
      </c>
      <c r="B83" s="463"/>
      <c r="C83" s="463"/>
      <c r="D83" s="463"/>
      <c r="E83" s="463"/>
      <c r="F83" s="463"/>
      <c r="G83" s="463"/>
      <c r="H83" s="463"/>
      <c r="I83" s="463"/>
      <c r="J83" s="463"/>
      <c r="K83" s="463"/>
      <c r="L83" s="463"/>
      <c r="M83" s="463"/>
    </row>
    <row r="85" spans="1:14" x14ac:dyDescent="0.2">
      <c r="A85" s="449" t="s">
        <v>188</v>
      </c>
      <c r="C85" s="450"/>
      <c r="D85" s="450"/>
      <c r="E85" s="450"/>
      <c r="F85" s="450"/>
      <c r="G85" s="450"/>
      <c r="H85" s="450"/>
      <c r="I85" s="450"/>
      <c r="J85" s="450"/>
      <c r="K85" s="450"/>
    </row>
    <row r="86" spans="1:14" ht="15" customHeight="1" x14ac:dyDescent="0.2">
      <c r="A86" s="464" t="s">
        <v>120</v>
      </c>
      <c r="B86" s="451" t="s">
        <v>121</v>
      </c>
      <c r="C86" s="451" t="s">
        <v>122</v>
      </c>
      <c r="D86" s="451"/>
      <c r="E86" s="451"/>
      <c r="F86" s="451"/>
      <c r="G86" s="451" t="s">
        <v>123</v>
      </c>
      <c r="H86" s="451"/>
      <c r="I86" s="451"/>
      <c r="J86" s="451"/>
      <c r="K86" s="464" t="s">
        <v>124</v>
      </c>
      <c r="L86" s="451" t="s">
        <v>125</v>
      </c>
    </row>
    <row r="87" spans="1:14" ht="38.25" customHeight="1" x14ac:dyDescent="0.2">
      <c r="A87" s="465"/>
      <c r="B87" s="451"/>
      <c r="C87" s="451" t="s">
        <v>126</v>
      </c>
      <c r="D87" s="451" t="s">
        <v>127</v>
      </c>
      <c r="E87" s="451" t="s">
        <v>128</v>
      </c>
      <c r="F87" s="451"/>
      <c r="G87" s="451" t="s">
        <v>126</v>
      </c>
      <c r="H87" s="451" t="s">
        <v>127</v>
      </c>
      <c r="I87" s="451" t="s">
        <v>128</v>
      </c>
      <c r="J87" s="451"/>
      <c r="K87" s="465"/>
      <c r="L87" s="451"/>
      <c r="N87" s="466"/>
    </row>
    <row r="88" spans="1:14" ht="25.5" x14ac:dyDescent="0.2">
      <c r="A88" s="467"/>
      <c r="B88" s="451"/>
      <c r="C88" s="451"/>
      <c r="D88" s="451"/>
      <c r="E88" s="452" t="s">
        <v>154</v>
      </c>
      <c r="F88" s="452" t="s">
        <v>167</v>
      </c>
      <c r="G88" s="451"/>
      <c r="H88" s="451"/>
      <c r="I88" s="452" t="s">
        <v>154</v>
      </c>
      <c r="J88" s="452" t="s">
        <v>167</v>
      </c>
      <c r="K88" s="467"/>
      <c r="L88" s="451"/>
      <c r="N88" s="466"/>
    </row>
    <row r="89" spans="1:14" ht="63.75" x14ac:dyDescent="0.2">
      <c r="A89" s="495" t="s">
        <v>189</v>
      </c>
      <c r="B89" s="453" t="s">
        <v>190</v>
      </c>
      <c r="C89" s="469">
        <f>'Release Calculations - 100k lbs'!AN43</f>
        <v>6.3502931800000009E-2</v>
      </c>
      <c r="D89" s="469">
        <f>'Release Calculations - 100k lbs'!AE43</f>
        <v>3.1751465900000005E-2</v>
      </c>
      <c r="E89" s="469">
        <f>'Release Calculations - 100k lbs'!V44</f>
        <v>3.1751465900000005E-2</v>
      </c>
      <c r="F89" s="469">
        <f>'Release Calculations - 100k lbs'!V43</f>
        <v>2.2679618500000002E-4</v>
      </c>
      <c r="G89" s="457">
        <f>'Release Calculations - 100k lbs'!AN45</f>
        <v>0.31751465900000003</v>
      </c>
      <c r="H89" s="457">
        <f>'Release Calculations - 100k lbs'!AE45</f>
        <v>0.15875732950000002</v>
      </c>
      <c r="I89" s="457">
        <f>'Release Calculations - 100k lbs'!V46</f>
        <v>0.15875732950000002</v>
      </c>
      <c r="J89" s="469">
        <f>'Release Calculations - 100k lbs'!V45</f>
        <v>1.1339809250000001E-3</v>
      </c>
      <c r="K89" s="458">
        <f>'Release Calculations - 100k lbs'!G43</f>
        <v>2</v>
      </c>
      <c r="L89" s="459" t="s">
        <v>133</v>
      </c>
      <c r="N89" s="481"/>
    </row>
    <row r="90" spans="1:14" ht="51" x14ac:dyDescent="0.2">
      <c r="A90" s="495" t="s">
        <v>191</v>
      </c>
      <c r="B90" s="453" t="s">
        <v>192</v>
      </c>
      <c r="C90" s="457">
        <f>'Release Calculations - 100k lbs'!AO43</f>
        <v>1.2700586360000001</v>
      </c>
      <c r="D90" s="457">
        <f>'Release Calculations - 100k lbs'!AF43</f>
        <v>0.63502931800000006</v>
      </c>
      <c r="E90" s="457">
        <f>'Release Calculations - 100k lbs'!W44</f>
        <v>0.63502931800000006</v>
      </c>
      <c r="F90" s="469">
        <f>'Release Calculations - 100k lbs'!W43</f>
        <v>4.5359237000000005E-3</v>
      </c>
      <c r="G90" s="455">
        <f>'Release Calculations - 100k lbs'!AO45</f>
        <v>1.2700586360000001</v>
      </c>
      <c r="H90" s="457">
        <f>'Release Calculations - 100k lbs'!AF45</f>
        <v>0.63502931800000006</v>
      </c>
      <c r="I90" s="457">
        <f>'Release Calculations - 100k lbs'!W46</f>
        <v>0.63502931800000006</v>
      </c>
      <c r="J90" s="469">
        <f>'Release Calculations - 100k lbs'!W45</f>
        <v>4.5359237000000005E-3</v>
      </c>
      <c r="K90" s="458">
        <f>'Release Calculations - 100k lbs'!G43</f>
        <v>2</v>
      </c>
      <c r="L90" s="459" t="s">
        <v>133</v>
      </c>
      <c r="N90" s="481"/>
    </row>
    <row r="91" spans="1:14" x14ac:dyDescent="0.2">
      <c r="A91" s="474" t="s">
        <v>135</v>
      </c>
      <c r="B91" s="474"/>
      <c r="C91" s="474"/>
      <c r="D91" s="474"/>
      <c r="E91" s="474"/>
      <c r="F91" s="474"/>
      <c r="G91" s="474"/>
      <c r="H91" s="474"/>
      <c r="I91" s="474"/>
      <c r="J91" s="474"/>
      <c r="K91" s="474"/>
      <c r="L91" s="474"/>
    </row>
    <row r="93" spans="1:14" x14ac:dyDescent="0.2">
      <c r="A93" s="449" t="s">
        <v>193</v>
      </c>
      <c r="C93" s="450"/>
      <c r="D93" s="450"/>
      <c r="E93" s="450"/>
      <c r="F93" s="450"/>
      <c r="G93" s="450"/>
      <c r="H93" s="450"/>
      <c r="I93" s="450"/>
      <c r="J93" s="450"/>
      <c r="K93" s="450"/>
    </row>
    <row r="94" spans="1:14" ht="15" customHeight="1" x14ac:dyDescent="0.2">
      <c r="A94" s="464" t="s">
        <v>120</v>
      </c>
      <c r="B94" s="451" t="s">
        <v>151</v>
      </c>
      <c r="C94" s="451" t="s">
        <v>27</v>
      </c>
      <c r="D94" s="451" t="s">
        <v>152</v>
      </c>
      <c r="E94" s="451"/>
      <c r="F94" s="451"/>
      <c r="G94" s="451"/>
      <c r="H94" s="451" t="s">
        <v>125</v>
      </c>
      <c r="K94" s="482"/>
    </row>
    <row r="95" spans="1:14" ht="15" customHeight="1" x14ac:dyDescent="0.2">
      <c r="A95" s="465"/>
      <c r="B95" s="451"/>
      <c r="C95" s="451"/>
      <c r="D95" s="451" t="s">
        <v>194</v>
      </c>
      <c r="E95" s="451" t="s">
        <v>153</v>
      </c>
      <c r="F95" s="451" t="s">
        <v>195</v>
      </c>
      <c r="G95" s="451"/>
      <c r="H95" s="451"/>
      <c r="K95" s="482"/>
    </row>
    <row r="96" spans="1:14" ht="25.5" x14ac:dyDescent="0.2">
      <c r="A96" s="467"/>
      <c r="B96" s="451"/>
      <c r="C96" s="451"/>
      <c r="D96" s="451"/>
      <c r="E96" s="451"/>
      <c r="F96" s="484" t="s">
        <v>196</v>
      </c>
      <c r="G96" s="484" t="s">
        <v>197</v>
      </c>
      <c r="H96" s="451"/>
      <c r="I96" s="446"/>
      <c r="J96" s="466"/>
      <c r="K96" s="466"/>
    </row>
    <row r="97" spans="1:14" ht="38.25" customHeight="1" x14ac:dyDescent="0.2">
      <c r="A97" s="517" t="s">
        <v>156</v>
      </c>
      <c r="B97" s="517" t="s">
        <v>198</v>
      </c>
      <c r="C97" s="518" t="s">
        <v>199</v>
      </c>
      <c r="D97" s="519" t="s">
        <v>200</v>
      </c>
      <c r="E97" s="471">
        <v>0.45359237000000002</v>
      </c>
      <c r="F97" s="520">
        <v>9.0718474000000007E-2</v>
      </c>
      <c r="G97" s="521">
        <v>1.5119745666666668E-3</v>
      </c>
      <c r="H97" s="459" t="s">
        <v>133</v>
      </c>
      <c r="I97" s="446"/>
      <c r="J97" s="494"/>
      <c r="K97" s="481"/>
      <c r="L97" s="446"/>
    </row>
    <row r="98" spans="1:14" x14ac:dyDescent="0.2">
      <c r="A98" s="517"/>
      <c r="B98" s="517"/>
      <c r="C98" s="518"/>
      <c r="D98" s="519" t="s">
        <v>201</v>
      </c>
      <c r="E98" s="520">
        <v>6.3502931800000004</v>
      </c>
      <c r="F98" s="520">
        <v>1.2700586360000001</v>
      </c>
      <c r="G98" s="457">
        <v>2.1167643933333334E-2</v>
      </c>
      <c r="H98" s="459" t="s">
        <v>133</v>
      </c>
      <c r="I98" s="446"/>
      <c r="J98" s="494"/>
      <c r="K98" s="481"/>
      <c r="L98" s="446"/>
    </row>
    <row r="99" spans="1:14" x14ac:dyDescent="0.2">
      <c r="A99" s="517"/>
      <c r="B99" s="517"/>
      <c r="C99" s="518"/>
      <c r="D99" s="519" t="s">
        <v>202</v>
      </c>
      <c r="E99" s="520">
        <v>0.45359237000000002</v>
      </c>
      <c r="F99" s="520">
        <v>9.0718474000000007E-2</v>
      </c>
      <c r="G99" s="469">
        <v>1.5119745666666668E-3</v>
      </c>
      <c r="H99" s="459" t="s">
        <v>133</v>
      </c>
      <c r="I99" s="446"/>
      <c r="J99" s="494"/>
      <c r="K99" s="481"/>
      <c r="L99" s="446"/>
    </row>
    <row r="100" spans="1:14" x14ac:dyDescent="0.2">
      <c r="A100" s="517"/>
      <c r="B100" s="517"/>
      <c r="C100" s="518"/>
      <c r="D100" s="519" t="s">
        <v>203</v>
      </c>
      <c r="E100" s="520">
        <v>6.3502931800000004</v>
      </c>
      <c r="F100" s="520">
        <v>1.2700586360000001</v>
      </c>
      <c r="G100" s="457">
        <v>2.1167643933333334E-2</v>
      </c>
      <c r="H100" s="459" t="s">
        <v>133</v>
      </c>
      <c r="I100" s="446"/>
      <c r="J100" s="494"/>
      <c r="K100" s="481"/>
      <c r="L100" s="446"/>
    </row>
    <row r="101" spans="1:14" s="125" customFormat="1" ht="15.75" x14ac:dyDescent="0.25">
      <c r="A101" s="486" t="s">
        <v>910</v>
      </c>
      <c r="B101" s="447"/>
      <c r="E101" s="487"/>
      <c r="F101" s="487"/>
      <c r="G101" s="487"/>
      <c r="H101" s="522"/>
    </row>
    <row r="102" spans="1:14" s="125" customFormat="1" ht="15.75" x14ac:dyDescent="0.25">
      <c r="A102" s="486" t="s">
        <v>911</v>
      </c>
      <c r="B102" s="447"/>
      <c r="E102" s="487"/>
      <c r="F102" s="487"/>
      <c r="G102" s="487"/>
      <c r="H102" s="487"/>
    </row>
    <row r="103" spans="1:14" s="125" customFormat="1" ht="15.75" x14ac:dyDescent="0.25">
      <c r="A103" s="486" t="s">
        <v>912</v>
      </c>
      <c r="B103" s="447"/>
      <c r="E103" s="487"/>
      <c r="F103" s="487"/>
      <c r="G103" s="487"/>
      <c r="H103" s="487"/>
    </row>
    <row r="104" spans="1:14" s="125" customFormat="1" ht="16.5" x14ac:dyDescent="0.25">
      <c r="A104" s="490" t="s">
        <v>913</v>
      </c>
      <c r="B104" s="447"/>
      <c r="E104" s="487"/>
      <c r="F104" s="487"/>
      <c r="G104" s="487"/>
      <c r="H104" s="487"/>
    </row>
    <row r="107" spans="1:14" x14ac:dyDescent="0.2">
      <c r="A107" s="449" t="s">
        <v>204</v>
      </c>
      <c r="C107" s="450"/>
      <c r="D107" s="450"/>
      <c r="E107" s="450"/>
      <c r="F107" s="450"/>
      <c r="G107" s="450"/>
      <c r="H107" s="450"/>
      <c r="I107" s="450"/>
      <c r="J107" s="450"/>
      <c r="K107" s="450"/>
    </row>
    <row r="108" spans="1:14" ht="15" customHeight="1" x14ac:dyDescent="0.2">
      <c r="A108" s="464" t="s">
        <v>120</v>
      </c>
      <c r="B108" s="451" t="s">
        <v>121</v>
      </c>
      <c r="C108" s="504" t="s">
        <v>205</v>
      </c>
      <c r="D108" s="505"/>
      <c r="E108" s="505"/>
      <c r="F108" s="506"/>
      <c r="G108" s="504" t="s">
        <v>206</v>
      </c>
      <c r="H108" s="505"/>
      <c r="I108" s="505"/>
      <c r="J108" s="506"/>
      <c r="K108" s="464" t="s">
        <v>124</v>
      </c>
      <c r="L108" s="451" t="s">
        <v>125</v>
      </c>
    </row>
    <row r="109" spans="1:14" ht="38.25" customHeight="1" x14ac:dyDescent="0.2">
      <c r="A109" s="465"/>
      <c r="B109" s="451"/>
      <c r="C109" s="451" t="s">
        <v>126</v>
      </c>
      <c r="D109" s="451" t="s">
        <v>127</v>
      </c>
      <c r="E109" s="451" t="s">
        <v>128</v>
      </c>
      <c r="F109" s="451"/>
      <c r="G109" s="451" t="s">
        <v>126</v>
      </c>
      <c r="H109" s="451" t="s">
        <v>127</v>
      </c>
      <c r="I109" s="451" t="s">
        <v>128</v>
      </c>
      <c r="J109" s="451"/>
      <c r="K109" s="465"/>
      <c r="L109" s="451"/>
      <c r="N109" s="466"/>
    </row>
    <row r="110" spans="1:14" ht="25.5" x14ac:dyDescent="0.2">
      <c r="A110" s="467"/>
      <c r="B110" s="451"/>
      <c r="C110" s="451"/>
      <c r="D110" s="451"/>
      <c r="E110" s="484" t="s">
        <v>207</v>
      </c>
      <c r="F110" s="484" t="s">
        <v>197</v>
      </c>
      <c r="G110" s="451"/>
      <c r="H110" s="451"/>
      <c r="I110" s="523" t="s">
        <v>207</v>
      </c>
      <c r="J110" s="523" t="s">
        <v>197</v>
      </c>
      <c r="K110" s="467"/>
      <c r="L110" s="451"/>
      <c r="N110" s="466"/>
    </row>
    <row r="111" spans="1:14" ht="25.5" customHeight="1" x14ac:dyDescent="0.2">
      <c r="A111" s="524" t="s">
        <v>170</v>
      </c>
      <c r="B111" s="453" t="s">
        <v>208</v>
      </c>
      <c r="C111" s="454">
        <f>'Release Calculations - 100k lbs'!AJ49</f>
        <v>22.679618500000004</v>
      </c>
      <c r="D111" s="457">
        <f>'Release Calculations - 100k lbs'!AA49</f>
        <v>9.9910213656387678E-2</v>
      </c>
      <c r="E111" s="469">
        <f>'Release Calculations - 100k lbs'!R49</f>
        <v>2.497755341409692E-2</v>
      </c>
      <c r="F111" s="469">
        <f>'Release Calculations - 100k lbs'!R50</f>
        <v>3.3303404552129226E-4</v>
      </c>
      <c r="G111" s="454">
        <f>'Release Calculations - 100k lbs'!AJ51</f>
        <v>45.359237000000007</v>
      </c>
      <c r="H111" s="457">
        <f>'Release Calculations - 100k lbs'!AA51</f>
        <v>0.19982042731277536</v>
      </c>
      <c r="I111" s="469">
        <f>'Release Calculations - 100k lbs'!R51</f>
        <v>4.9955106828193839E-2</v>
      </c>
      <c r="J111" s="469">
        <f>'Release Calculations - 100k lbs'!R52</f>
        <v>6.6606809104258452E-4</v>
      </c>
      <c r="K111" s="458">
        <f>'Release Calculations - 100k lbs'!G49</f>
        <v>227</v>
      </c>
      <c r="L111" s="459" t="s">
        <v>133</v>
      </c>
      <c r="N111" s="481"/>
    </row>
    <row r="112" spans="1:14" ht="51" x14ac:dyDescent="0.2">
      <c r="A112" s="524" t="s">
        <v>209</v>
      </c>
      <c r="B112" s="453" t="s">
        <v>210</v>
      </c>
      <c r="C112" s="525">
        <f>'Release Calculations - 100k lbs'!AN49</f>
        <v>204.11656650000003</v>
      </c>
      <c r="D112" s="526">
        <f>'Release Calculations - 100k lbs'!AE49</f>
        <v>0.89919192290748917</v>
      </c>
      <c r="E112" s="469">
        <f>'Release Calculations - 100k lbs'!V49</f>
        <v>0.22479798072687229</v>
      </c>
      <c r="F112" s="469">
        <f>'Release Calculations - 100k lbs'!V50</f>
        <v>2.9973064096916304E-3</v>
      </c>
      <c r="G112" s="456">
        <f>'Release Calculations - 100k lbs'!AN51</f>
        <v>181.43694800000003</v>
      </c>
      <c r="H112" s="457">
        <f>'Release Calculations - 100k lbs'!AE51</f>
        <v>0.79928170925110142</v>
      </c>
      <c r="I112" s="457">
        <f>'Release Calculations - 100k lbs'!V51</f>
        <v>0.19982042731277536</v>
      </c>
      <c r="J112" s="469">
        <f>'Release Calculations - 100k lbs'!V52</f>
        <v>2.6642723641703381E-3</v>
      </c>
      <c r="K112" s="458">
        <f>'Release Calculations - 100k lbs'!G49</f>
        <v>227</v>
      </c>
      <c r="L112" s="459" t="s">
        <v>133</v>
      </c>
      <c r="N112" s="481"/>
    </row>
    <row r="113" spans="1:18" x14ac:dyDescent="0.2">
      <c r="A113" s="474" t="s">
        <v>135</v>
      </c>
      <c r="B113" s="474"/>
      <c r="C113" s="474"/>
      <c r="D113" s="474"/>
      <c r="E113" s="474"/>
      <c r="F113" s="474"/>
      <c r="G113" s="474"/>
      <c r="H113" s="474"/>
      <c r="I113" s="474"/>
      <c r="J113" s="474"/>
      <c r="K113" s="474"/>
      <c r="L113" s="474"/>
    </row>
    <row r="116" spans="1:18" x14ac:dyDescent="0.2">
      <c r="A116" s="449" t="s">
        <v>211</v>
      </c>
      <c r="C116" s="450"/>
      <c r="D116" s="450"/>
      <c r="E116" s="450"/>
      <c r="F116" s="450"/>
      <c r="G116" s="450"/>
      <c r="H116" s="450"/>
      <c r="I116" s="450"/>
      <c r="J116" s="450"/>
      <c r="K116" s="450"/>
    </row>
    <row r="117" spans="1:18" ht="15" customHeight="1" x14ac:dyDescent="0.2">
      <c r="A117" s="464" t="s">
        <v>120</v>
      </c>
      <c r="B117" s="451" t="s">
        <v>121</v>
      </c>
      <c r="C117" s="504" t="s">
        <v>212</v>
      </c>
      <c r="D117" s="505"/>
      <c r="E117" s="505"/>
      <c r="F117" s="506"/>
      <c r="G117" s="504" t="s">
        <v>213</v>
      </c>
      <c r="H117" s="505"/>
      <c r="I117" s="505"/>
      <c r="J117" s="506"/>
      <c r="K117" s="464" t="s">
        <v>124</v>
      </c>
      <c r="L117" s="451" t="s">
        <v>125</v>
      </c>
    </row>
    <row r="118" spans="1:18" ht="38.25" customHeight="1" x14ac:dyDescent="0.2">
      <c r="A118" s="465"/>
      <c r="B118" s="451"/>
      <c r="C118" s="504" t="s">
        <v>127</v>
      </c>
      <c r="D118" s="506"/>
      <c r="E118" s="504" t="s">
        <v>128</v>
      </c>
      <c r="F118" s="506"/>
      <c r="G118" s="504" t="s">
        <v>127</v>
      </c>
      <c r="H118" s="506"/>
      <c r="I118" s="504" t="s">
        <v>128</v>
      </c>
      <c r="J118" s="506"/>
      <c r="K118" s="465"/>
      <c r="L118" s="451"/>
      <c r="N118" s="466"/>
    </row>
    <row r="119" spans="1:18" ht="25.5" x14ac:dyDescent="0.2">
      <c r="A119" s="467"/>
      <c r="B119" s="451"/>
      <c r="C119" s="452" t="s">
        <v>214</v>
      </c>
      <c r="D119" s="452" t="s">
        <v>215</v>
      </c>
      <c r="E119" s="452" t="s">
        <v>214</v>
      </c>
      <c r="F119" s="452" t="s">
        <v>215</v>
      </c>
      <c r="G119" s="452" t="s">
        <v>214</v>
      </c>
      <c r="H119" s="452" t="s">
        <v>215</v>
      </c>
      <c r="I119" s="452" t="s">
        <v>214</v>
      </c>
      <c r="J119" s="452" t="s">
        <v>215</v>
      </c>
      <c r="K119" s="467"/>
      <c r="L119" s="451"/>
      <c r="N119" s="466"/>
    </row>
    <row r="120" spans="1:18" s="532" customFormat="1" ht="61.5" customHeight="1" x14ac:dyDescent="0.2">
      <c r="A120" s="527" t="s">
        <v>216</v>
      </c>
      <c r="B120" s="528" t="s">
        <v>217</v>
      </c>
      <c r="C120" s="498">
        <f>'Release Calculations - 100k lbs'!AF54</f>
        <v>1.994812648353</v>
      </c>
      <c r="D120" s="498">
        <f>'Release Calculations - 100k lbs'!AF55</f>
        <v>6.1195088713160777</v>
      </c>
      <c r="E120" s="529">
        <f>'Release Calculations - 100k lbs'!W54</f>
        <v>7.9792505934120003E-3</v>
      </c>
      <c r="F120" s="499">
        <f>'Release Calculations - 100k lbs'!W55</f>
        <v>2.447803548526431E-2</v>
      </c>
      <c r="G120" s="497">
        <f>'Release Calculations - 100k lbs'!AF56</f>
        <v>31.169677440021118</v>
      </c>
      <c r="H120" s="498">
        <f>'Release Calculations - 100k lbs'!AF57</f>
        <v>95.619564959022696</v>
      </c>
      <c r="I120" s="500">
        <f>'Release Calculations - 100k lbs'!W56</f>
        <v>0.12467870976008448</v>
      </c>
      <c r="J120" s="500">
        <f>'Release Calculations - 100k lbs'!W57</f>
        <v>0.38247825983609079</v>
      </c>
      <c r="K120" s="514">
        <f>'Release Calculations - 100k lbs'!G54</f>
        <v>572</v>
      </c>
      <c r="L120" s="515" t="s">
        <v>133</v>
      </c>
      <c r="M120" s="530"/>
      <c r="N120" s="531"/>
      <c r="O120" s="530"/>
      <c r="P120" s="530"/>
      <c r="Q120" s="530"/>
      <c r="R120" s="530"/>
    </row>
    <row r="121" spans="1:18" x14ac:dyDescent="0.2">
      <c r="A121" s="474" t="s">
        <v>135</v>
      </c>
      <c r="B121" s="474"/>
      <c r="C121" s="474"/>
      <c r="D121" s="474"/>
      <c r="E121" s="474"/>
      <c r="F121" s="474"/>
      <c r="G121" s="474"/>
      <c r="H121" s="474"/>
      <c r="I121" s="474"/>
      <c r="J121" s="474"/>
      <c r="K121" s="474"/>
      <c r="L121" s="474"/>
    </row>
  </sheetData>
  <sheetProtection algorithmName="SHA-512" hashValue="IeEZTQEXfsd0p+UP1PFPUpkRBR0wWOQv4jg7Zu8tELfARbCri+NjnpGbiP8jdMZuGF8KCIFn7Tfm6DOrrjAepA==" saltValue="1HN8+SD7TOvcd+rWS4MS+w==" spinCount="100000" sheet="1" objects="1" scenarios="1"/>
  <mergeCells count="160">
    <mergeCell ref="A121:L121"/>
    <mergeCell ref="C118:D118"/>
    <mergeCell ref="G118:H118"/>
    <mergeCell ref="A117:A119"/>
    <mergeCell ref="B117:B119"/>
    <mergeCell ref="C117:F117"/>
    <mergeCell ref="G117:J117"/>
    <mergeCell ref="K117:K119"/>
    <mergeCell ref="L117:L119"/>
    <mergeCell ref="E118:F118"/>
    <mergeCell ref="I118:J118"/>
    <mergeCell ref="L48:L50"/>
    <mergeCell ref="G48:J48"/>
    <mergeCell ref="M78:M79"/>
    <mergeCell ref="N49:N50"/>
    <mergeCell ref="N59:N60"/>
    <mergeCell ref="K108:K110"/>
    <mergeCell ref="L108:L110"/>
    <mergeCell ref="A94:A96"/>
    <mergeCell ref="A36:A38"/>
    <mergeCell ref="D59:D60"/>
    <mergeCell ref="G59:G60"/>
    <mergeCell ref="H59:H60"/>
    <mergeCell ref="K86:K88"/>
    <mergeCell ref="L86:L88"/>
    <mergeCell ref="G71:G72"/>
    <mergeCell ref="I71:I72"/>
    <mergeCell ref="G108:J108"/>
    <mergeCell ref="K48:K50"/>
    <mergeCell ref="I49:J49"/>
    <mergeCell ref="D94:G94"/>
    <mergeCell ref="F95:G95"/>
    <mergeCell ref="E95:E96"/>
    <mergeCell ref="A97:A100"/>
    <mergeCell ref="B97:B100"/>
    <mergeCell ref="B70:B72"/>
    <mergeCell ref="C108:F108"/>
    <mergeCell ref="A83:M83"/>
    <mergeCell ref="A78:A79"/>
    <mergeCell ref="B78:B79"/>
    <mergeCell ref="H78:L78"/>
    <mergeCell ref="A5:A7"/>
    <mergeCell ref="A13:A15"/>
    <mergeCell ref="A21:A23"/>
    <mergeCell ref="A29:A31"/>
    <mergeCell ref="A48:A50"/>
    <mergeCell ref="A58:A60"/>
    <mergeCell ref="A70:A72"/>
    <mergeCell ref="A86:A88"/>
    <mergeCell ref="C48:F48"/>
    <mergeCell ref="E49:F49"/>
    <mergeCell ref="C21:F21"/>
    <mergeCell ref="C22:C23"/>
    <mergeCell ref="D22:D23"/>
    <mergeCell ref="E22:F22"/>
    <mergeCell ref="G22:G23"/>
    <mergeCell ref="H22:H23"/>
    <mergeCell ref="I22:J22"/>
    <mergeCell ref="A10:L10"/>
    <mergeCell ref="G21:J21"/>
    <mergeCell ref="E109:F109"/>
    <mergeCell ref="D109:D110"/>
    <mergeCell ref="C109:C110"/>
    <mergeCell ref="C86:F86"/>
    <mergeCell ref="E87:F87"/>
    <mergeCell ref="C87:C88"/>
    <mergeCell ref="C71:C72"/>
    <mergeCell ref="D95:D96"/>
    <mergeCell ref="C49:C50"/>
    <mergeCell ref="C97:C100"/>
    <mergeCell ref="C78:G78"/>
    <mergeCell ref="L5:L7"/>
    <mergeCell ref="B13:B15"/>
    <mergeCell ref="C13:F13"/>
    <mergeCell ref="G13:J13"/>
    <mergeCell ref="E14:F14"/>
    <mergeCell ref="I14:J14"/>
    <mergeCell ref="C14:C15"/>
    <mergeCell ref="D14:D15"/>
    <mergeCell ref="G14:G15"/>
    <mergeCell ref="H14:H15"/>
    <mergeCell ref="E6:F6"/>
    <mergeCell ref="B5:B7"/>
    <mergeCell ref="C6:C7"/>
    <mergeCell ref="D6:D7"/>
    <mergeCell ref="K5:K7"/>
    <mergeCell ref="C5:F5"/>
    <mergeCell ref="G5:J5"/>
    <mergeCell ref="G6:G7"/>
    <mergeCell ref="H6:H7"/>
    <mergeCell ref="I6:J6"/>
    <mergeCell ref="L13:L15"/>
    <mergeCell ref="K13:K15"/>
    <mergeCell ref="P73:P74"/>
    <mergeCell ref="N61:N62"/>
    <mergeCell ref="C58:F58"/>
    <mergeCell ref="G58:J58"/>
    <mergeCell ref="E59:F59"/>
    <mergeCell ref="I59:J59"/>
    <mergeCell ref="C59:C60"/>
    <mergeCell ref="L58:L60"/>
    <mergeCell ref="M70:M72"/>
    <mergeCell ref="D71:D72"/>
    <mergeCell ref="F71:F72"/>
    <mergeCell ref="E71:E72"/>
    <mergeCell ref="C70:G70"/>
    <mergeCell ref="K71:K72"/>
    <mergeCell ref="L71:L72"/>
    <mergeCell ref="J71:J72"/>
    <mergeCell ref="H71:H72"/>
    <mergeCell ref="H70:L70"/>
    <mergeCell ref="K58:K60"/>
    <mergeCell ref="O24:O25"/>
    <mergeCell ref="N16:N17"/>
    <mergeCell ref="B48:B50"/>
    <mergeCell ref="D49:D50"/>
    <mergeCell ref="G49:G50"/>
    <mergeCell ref="H49:H50"/>
    <mergeCell ref="J32:J33"/>
    <mergeCell ref="K29:M29"/>
    <mergeCell ref="B21:B23"/>
    <mergeCell ref="H39:H40"/>
    <mergeCell ref="D37:E37"/>
    <mergeCell ref="C36:E36"/>
    <mergeCell ref="B29:B31"/>
    <mergeCell ref="B36:B38"/>
    <mergeCell ref="C37:C38"/>
    <mergeCell ref="C29:F29"/>
    <mergeCell ref="E30:F30"/>
    <mergeCell ref="G29:G31"/>
    <mergeCell ref="J30:J31"/>
    <mergeCell ref="H29:H31"/>
    <mergeCell ref="L21:L23"/>
    <mergeCell ref="K21:K23"/>
    <mergeCell ref="F36:F38"/>
    <mergeCell ref="D30:D31"/>
    <mergeCell ref="A113:L113"/>
    <mergeCell ref="A91:L91"/>
    <mergeCell ref="A75:M75"/>
    <mergeCell ref="A63:L63"/>
    <mergeCell ref="A55:L55"/>
    <mergeCell ref="A34:H34"/>
    <mergeCell ref="A26:L26"/>
    <mergeCell ref="A18:L18"/>
    <mergeCell ref="B108:B110"/>
    <mergeCell ref="G109:G110"/>
    <mergeCell ref="H109:H110"/>
    <mergeCell ref="I109:J109"/>
    <mergeCell ref="C94:C96"/>
    <mergeCell ref="B94:B96"/>
    <mergeCell ref="H94:H96"/>
    <mergeCell ref="B58:B60"/>
    <mergeCell ref="B86:B88"/>
    <mergeCell ref="D87:D88"/>
    <mergeCell ref="G86:J86"/>
    <mergeCell ref="G87:G88"/>
    <mergeCell ref="H87:H88"/>
    <mergeCell ref="I87:J87"/>
    <mergeCell ref="C30:C31"/>
    <mergeCell ref="A108:A110"/>
  </mergeCells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2E1D71-2D3E-4106-9BA7-05F1992F5571}">
  <sheetPr codeName="Sheet6"/>
  <dimension ref="A1:O20"/>
  <sheetViews>
    <sheetView workbookViewId="0">
      <pane ySplit="6" topLeftCell="A7" activePane="bottomLeft" state="frozen"/>
      <selection pane="bottomLeft" activeCell="A3" sqref="A3"/>
    </sheetView>
  </sheetViews>
  <sheetFormatPr defaultRowHeight="15" x14ac:dyDescent="0.25"/>
  <cols>
    <col min="1" max="1" width="9.140625" style="5"/>
    <col min="2" max="2" width="27" style="5" customWidth="1"/>
    <col min="3" max="3" width="15.85546875" style="5" customWidth="1"/>
    <col min="4" max="4" width="10.42578125" style="5" bestFit="1" customWidth="1"/>
    <col min="5" max="5" width="12.42578125" style="5" bestFit="1" customWidth="1"/>
    <col min="6" max="16384" width="9.140625" style="5"/>
  </cols>
  <sheetData>
    <row r="1" spans="1:15" x14ac:dyDescent="0.25">
      <c r="A1" t="s">
        <v>218</v>
      </c>
    </row>
    <row r="3" spans="1:15" ht="15.75" thickBot="1" x14ac:dyDescent="0.3"/>
    <row r="4" spans="1:15" ht="57.75" customHeight="1" thickBot="1" x14ac:dyDescent="0.3">
      <c r="A4" s="91" t="s">
        <v>219</v>
      </c>
      <c r="B4" s="91" t="s">
        <v>220</v>
      </c>
      <c r="C4" s="91" t="s">
        <v>221</v>
      </c>
      <c r="D4" s="94" t="s">
        <v>124</v>
      </c>
      <c r="E4" s="95"/>
      <c r="F4" s="94" t="s">
        <v>222</v>
      </c>
      <c r="G4" s="95"/>
      <c r="H4" s="98" t="s">
        <v>223</v>
      </c>
      <c r="I4" s="99"/>
      <c r="J4" s="99"/>
      <c r="K4" s="99"/>
      <c r="L4" s="99"/>
      <c r="M4" s="99"/>
      <c r="N4" s="99"/>
      <c r="O4" s="100"/>
    </row>
    <row r="5" spans="1:15" ht="25.5" customHeight="1" thickBot="1" x14ac:dyDescent="0.3">
      <c r="A5" s="92"/>
      <c r="B5" s="92"/>
      <c r="C5" s="92"/>
      <c r="D5" s="96"/>
      <c r="E5" s="97"/>
      <c r="F5" s="104"/>
      <c r="G5" s="105"/>
      <c r="H5" s="98" t="s">
        <v>224</v>
      </c>
      <c r="I5" s="100"/>
      <c r="J5" s="98" t="s">
        <v>225</v>
      </c>
      <c r="K5" s="100"/>
      <c r="L5" s="98" t="s">
        <v>226</v>
      </c>
      <c r="M5" s="100"/>
      <c r="N5" s="98" t="s">
        <v>227</v>
      </c>
      <c r="O5" s="100"/>
    </row>
    <row r="6" spans="1:15" ht="25.5" x14ac:dyDescent="0.25">
      <c r="A6" s="92"/>
      <c r="B6" s="92"/>
      <c r="C6" s="92"/>
      <c r="D6" s="79" t="s">
        <v>228</v>
      </c>
      <c r="E6" s="79" t="s">
        <v>229</v>
      </c>
      <c r="F6" s="106"/>
      <c r="G6" s="107"/>
      <c r="H6" s="79" t="s">
        <v>230</v>
      </c>
      <c r="I6" s="79" t="s">
        <v>231</v>
      </c>
      <c r="J6" s="79" t="s">
        <v>230</v>
      </c>
      <c r="K6" s="79" t="s">
        <v>231</v>
      </c>
      <c r="L6" s="79" t="s">
        <v>230</v>
      </c>
      <c r="M6" s="79" t="s">
        <v>231</v>
      </c>
      <c r="N6" s="79" t="s">
        <v>230</v>
      </c>
      <c r="O6" s="79" t="s">
        <v>231</v>
      </c>
    </row>
    <row r="7" spans="1:15" ht="25.5" x14ac:dyDescent="0.25">
      <c r="A7" s="77">
        <v>1</v>
      </c>
      <c r="B7" s="77" t="s">
        <v>30</v>
      </c>
      <c r="C7" s="32" t="e">
        <f>'Release Calculations - 100k lbs'!#REF!</f>
        <v>#REF!</v>
      </c>
      <c r="D7" s="85" t="e">
        <f>'Release Calculations - 100k lbs'!#REF!</f>
        <v>#REF!</v>
      </c>
      <c r="E7" s="85"/>
      <c r="F7" s="86" t="e">
        <f>'Release Calculations - 100k lbs'!#REF!</f>
        <v>#REF!</v>
      </c>
      <c r="G7" s="87"/>
      <c r="H7" s="93" t="e">
        <f>'Release Calculations - 100k lbs'!#REF!</f>
        <v>#REF!</v>
      </c>
      <c r="I7" s="93"/>
      <c r="J7" s="93" t="e">
        <f>'Release Calculations - 100k lbs'!#REF!</f>
        <v>#REF!</v>
      </c>
      <c r="K7" s="93"/>
      <c r="L7" s="93" t="e">
        <f>'Release Calculations - 100k lbs'!#REF!</f>
        <v>#REF!</v>
      </c>
      <c r="M7" s="93"/>
      <c r="N7" s="93" t="e">
        <f>'Release Calculations - 100k lbs'!#REF!</f>
        <v>#REF!</v>
      </c>
      <c r="O7" s="93"/>
    </row>
    <row r="8" spans="1:15" ht="25.5" x14ac:dyDescent="0.25">
      <c r="A8" s="77">
        <v>2</v>
      </c>
      <c r="B8" s="77" t="s">
        <v>232</v>
      </c>
      <c r="C8" s="32">
        <f>'Release Calculations - 100k lbs'!F12</f>
        <v>45359.237000000001</v>
      </c>
      <c r="D8" s="85">
        <f>'Release Calculations - 100k lbs'!G12</f>
        <v>1</v>
      </c>
      <c r="E8" s="85"/>
      <c r="F8" s="86">
        <f>'Release Calculations - 100k lbs'!H12</f>
        <v>60</v>
      </c>
      <c r="G8" s="87"/>
      <c r="H8" s="78">
        <f>'Release Calculations - 100k lbs'!I12</f>
        <v>6.1206896551724135E-6</v>
      </c>
      <c r="I8" s="78">
        <f>'Release Calculations - 100k lbs'!I14</f>
        <v>7.3100000000000003E-6</v>
      </c>
      <c r="J8" s="78">
        <f>'Release Calculations - 100k lbs'!J12</f>
        <v>3.2232758620689656E-5</v>
      </c>
      <c r="K8" s="78">
        <f>'Release Calculations - 100k lbs'!J14</f>
        <v>7.4200000000000001E-5</v>
      </c>
      <c r="L8" s="93">
        <f>'Release Calculations - 100k lbs'!K12</f>
        <v>0</v>
      </c>
      <c r="M8" s="93"/>
      <c r="N8" s="93">
        <f>'Release Calculations - 100k lbs'!L12</f>
        <v>0</v>
      </c>
      <c r="O8" s="93"/>
    </row>
    <row r="9" spans="1:15" ht="25.5" x14ac:dyDescent="0.25">
      <c r="A9" s="77">
        <v>3</v>
      </c>
      <c r="B9" s="77" t="s">
        <v>233</v>
      </c>
      <c r="C9" s="32">
        <f>'Release Calculations - 100k lbs'!F16</f>
        <v>45359.237000000001</v>
      </c>
      <c r="D9" s="85">
        <f>'Release Calculations - 100k lbs'!G16</f>
        <v>1</v>
      </c>
      <c r="E9" s="85"/>
      <c r="F9" s="86" t="e">
        <f>'Release Calculations - 100k lbs'!#REF!</f>
        <v>#REF!</v>
      </c>
      <c r="G9" s="87"/>
      <c r="H9" s="78">
        <f>'Release Calculations - 100k lbs'!I14</f>
        <v>7.3100000000000003E-6</v>
      </c>
      <c r="I9" s="78">
        <f>'Release Calculations - 100k lbs'!I16</f>
        <v>5.7872044506258695E-5</v>
      </c>
      <c r="J9" s="78">
        <f>'Release Calculations - 100k lbs'!J14</f>
        <v>7.4200000000000001E-5</v>
      </c>
      <c r="K9" s="78">
        <f>'Release Calculations - 100k lbs'!J16</f>
        <v>1.070931849791377E-5</v>
      </c>
      <c r="L9" s="93">
        <f>'Release Calculations - 100k lbs'!K14</f>
        <v>0</v>
      </c>
      <c r="M9" s="93"/>
      <c r="N9" s="93">
        <f>'Release Calculations - 100k lbs'!L14</f>
        <v>0</v>
      </c>
      <c r="O9" s="93"/>
    </row>
    <row r="10" spans="1:15" ht="25.5" x14ac:dyDescent="0.25">
      <c r="A10" s="77">
        <v>4</v>
      </c>
      <c r="B10" s="77" t="s">
        <v>234</v>
      </c>
      <c r="C10" s="32" t="e">
        <f>'Release Calculations - 100k lbs'!#REF!</f>
        <v>#REF!</v>
      </c>
      <c r="D10" s="85" t="e">
        <f>'Release Calculations - 100k lbs'!#REF!</f>
        <v>#REF!</v>
      </c>
      <c r="E10" s="85"/>
      <c r="F10" s="86" t="e">
        <f>'Release Calculations - 100k lbs'!#REF!</f>
        <v>#REF!</v>
      </c>
      <c r="G10" s="87"/>
      <c r="H10" s="78">
        <f>'Release Calculations - 100k lbs'!I16</f>
        <v>5.7872044506258695E-5</v>
      </c>
      <c r="I10" s="78">
        <f>'Release Calculations - 100k lbs'!I18</f>
        <v>5.7962413452027699E-5</v>
      </c>
      <c r="J10" s="78">
        <f>'Release Calculations - 100k lbs'!J16</f>
        <v>1.070931849791377E-5</v>
      </c>
      <c r="K10" s="78">
        <f>'Release Calculations - 100k lbs'!J18</f>
        <v>2.6310583580613257E-5</v>
      </c>
      <c r="L10" s="93">
        <f>'Release Calculations - 100k lbs'!K16</f>
        <v>0</v>
      </c>
      <c r="M10" s="93"/>
      <c r="N10" s="93">
        <f>'Release Calculations - 100k lbs'!L16</f>
        <v>0</v>
      </c>
      <c r="O10" s="93"/>
    </row>
    <row r="11" spans="1:15" ht="25.5" x14ac:dyDescent="0.25">
      <c r="A11" s="77">
        <v>5</v>
      </c>
      <c r="B11" s="77" t="s">
        <v>235</v>
      </c>
      <c r="C11" s="32">
        <f>'Release Calculations - 100k lbs'!F24</f>
        <v>45359.237000000001</v>
      </c>
      <c r="D11" s="85">
        <f>'Release Calculations - 100k lbs'!G24</f>
        <v>1</v>
      </c>
      <c r="E11" s="85"/>
      <c r="F11" s="86">
        <f>'Release Calculations - 100k lbs'!H24</f>
        <v>140</v>
      </c>
      <c r="G11" s="87"/>
      <c r="H11" s="93">
        <f>'Release Calculations - 100k lbs'!M24</f>
        <v>1E-3</v>
      </c>
      <c r="I11" s="93"/>
      <c r="J11" s="93">
        <f>'Release Calculations - 100k lbs'!N24</f>
        <v>0.01</v>
      </c>
      <c r="K11" s="93"/>
      <c r="L11" s="93">
        <f>'Release Calculations - 100k lbs'!K24</f>
        <v>0.01</v>
      </c>
      <c r="M11" s="93"/>
      <c r="N11" s="93">
        <f>'Release Calculations - 100k lbs'!O24</f>
        <v>0.01</v>
      </c>
      <c r="O11" s="93"/>
    </row>
    <row r="12" spans="1:15" ht="38.25" x14ac:dyDescent="0.25">
      <c r="A12" s="77">
        <v>6</v>
      </c>
      <c r="B12" s="77" t="s">
        <v>236</v>
      </c>
      <c r="C12" s="32">
        <f>'Release Calculations - 100k lbs'!F29</f>
        <v>90718.474000000002</v>
      </c>
      <c r="D12" s="85">
        <f>'Release Calculations - 100k lbs'!G29</f>
        <v>2</v>
      </c>
      <c r="E12" s="85"/>
      <c r="F12" s="86">
        <f>'Release Calculations - 100k lbs'!H29</f>
        <v>300</v>
      </c>
      <c r="G12" s="87"/>
      <c r="H12" s="78">
        <f>'Release Calculations - 100k lbs'!M29</f>
        <v>5.0561797752808988E-5</v>
      </c>
      <c r="I12" s="78">
        <f>'Release Calculations - 100k lbs'!M31</f>
        <v>2.2500000000000002E-4</v>
      </c>
      <c r="J12" s="78">
        <f>'Release Calculations - 100k lbs'!N29</f>
        <v>0.01</v>
      </c>
      <c r="K12" s="78">
        <f>'Release Calculations - 100k lbs'!N31</f>
        <v>2.5000000000000001E-2</v>
      </c>
      <c r="L12" s="78">
        <f>'Release Calculations - 100k lbs'!K29</f>
        <v>0</v>
      </c>
      <c r="M12" s="78">
        <f>'Release Calculations - 100k lbs'!K31</f>
        <v>0</v>
      </c>
      <c r="N12" s="78">
        <f>'Release Calculations - 100k lbs'!L29</f>
        <v>0</v>
      </c>
      <c r="O12" s="78">
        <f>'Release Calculations - 100k lbs'!L31</f>
        <v>0</v>
      </c>
    </row>
    <row r="13" spans="1:15" ht="25.5" x14ac:dyDescent="0.25">
      <c r="A13" s="77">
        <v>7</v>
      </c>
      <c r="B13" s="77" t="s">
        <v>237</v>
      </c>
      <c r="C13" s="85" t="s">
        <v>238</v>
      </c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</row>
    <row r="14" spans="1:15" ht="51" x14ac:dyDescent="0.25">
      <c r="A14" s="77">
        <v>8</v>
      </c>
      <c r="B14" s="77" t="s">
        <v>239</v>
      </c>
      <c r="C14" s="32">
        <f>'Release Calculations - 100k lbs'!F35</f>
        <v>45359.237000000001</v>
      </c>
      <c r="D14" s="42">
        <f>'Release Calculations - 100k lbs'!G35</f>
        <v>34</v>
      </c>
      <c r="E14" s="42">
        <f>'Release Calculations - 100k lbs'!G37</f>
        <v>2696</v>
      </c>
      <c r="F14" s="77">
        <f>'Release Calculations - 100k lbs'!H35</f>
        <v>3</v>
      </c>
      <c r="G14" s="77">
        <f>'Release Calculations - 100k lbs'!H37</f>
        <v>1</v>
      </c>
      <c r="H14" s="78" t="e">
        <f>'Release Calculations - 100k lbs'!#REF!</f>
        <v>#REF!</v>
      </c>
      <c r="I14" s="78" t="e">
        <f>'Release Calculations - 100k lbs'!#REF!</f>
        <v>#REF!</v>
      </c>
      <c r="J14" s="78" t="e">
        <f>'Release Calculations - 100k lbs'!#REF!</f>
        <v>#REF!</v>
      </c>
      <c r="K14" s="78" t="e">
        <f>'Release Calculations - 100k lbs'!#REF!</f>
        <v>#REF!</v>
      </c>
      <c r="L14" s="78">
        <f>'Release Calculations - 100k lbs'!M35</f>
        <v>5.0561797752808988E-5</v>
      </c>
      <c r="M14" s="78">
        <f>'Release Calculations - 100k lbs'!M37</f>
        <v>2.2500000000000002E-4</v>
      </c>
      <c r="N14" s="78">
        <f>'Release Calculations - 100k lbs'!N35</f>
        <v>0.01</v>
      </c>
      <c r="O14" s="78">
        <f>'Release Calculations - 100k lbs'!N37</f>
        <v>2.5000000000000001E-2</v>
      </c>
    </row>
    <row r="15" spans="1:15" ht="15.75" customHeight="1" x14ac:dyDescent="0.25">
      <c r="A15" s="77">
        <v>9</v>
      </c>
      <c r="B15" s="77" t="s">
        <v>240</v>
      </c>
      <c r="C15" s="32" t="e">
        <f>'Release Calculations - 100k lbs'!#REF!</f>
        <v>#REF!</v>
      </c>
      <c r="D15" s="85" t="s">
        <v>241</v>
      </c>
      <c r="E15" s="85"/>
      <c r="F15" s="86" t="e">
        <f>'Release Calculations - 100k lbs'!#REF!</f>
        <v>#REF!</v>
      </c>
      <c r="G15" s="87"/>
      <c r="H15" s="78" t="e">
        <f>'Release Calculations - 100k lbs'!#REF!</f>
        <v>#REF!</v>
      </c>
      <c r="I15" s="78" t="e">
        <f>'Release Calculations - 100k lbs'!#REF!</f>
        <v>#REF!</v>
      </c>
      <c r="J15" s="78" t="e">
        <f>'Release Calculations - 100k lbs'!#REF!</f>
        <v>#REF!</v>
      </c>
      <c r="K15" s="78" t="e">
        <f>'Release Calculations - 100k lbs'!#REF!</f>
        <v>#REF!</v>
      </c>
      <c r="L15" s="93" t="e">
        <f>'Release Calculations - 100k lbs'!#REF!</f>
        <v>#REF!</v>
      </c>
      <c r="M15" s="93"/>
      <c r="N15" s="93" t="e">
        <f>'Release Calculations - 100k lbs'!#REF!</f>
        <v>#REF!</v>
      </c>
      <c r="O15" s="93"/>
    </row>
    <row r="16" spans="1:15" ht="204" customHeight="1" x14ac:dyDescent="0.25">
      <c r="A16" s="77">
        <v>10</v>
      </c>
      <c r="B16" s="77" t="s">
        <v>242</v>
      </c>
      <c r="C16" s="32">
        <f>'Release Calculations - 100k lbs'!F41</f>
        <v>458128.29369999998</v>
      </c>
      <c r="D16" s="102">
        <f>'Release Calculations - 100k lbs'!G40</f>
        <v>27229.599999999999</v>
      </c>
      <c r="E16" s="103"/>
      <c r="F16" s="86" t="s">
        <v>243</v>
      </c>
      <c r="G16" s="87"/>
      <c r="H16" s="89">
        <f>'Release Calculations - 100k lbs'!I41</f>
        <v>0</v>
      </c>
      <c r="I16" s="90"/>
      <c r="J16" s="89">
        <f>'Release Calculations - 100k lbs'!M41</f>
        <v>5.0561797752808992E-4</v>
      </c>
      <c r="K16" s="90"/>
      <c r="L16" s="101">
        <f>'Release Calculations - 100k lbs'!K41</f>
        <v>0.7</v>
      </c>
      <c r="M16" s="101"/>
      <c r="N16" s="101">
        <f>'Release Calculations - 100k lbs'!L41</f>
        <v>0.3</v>
      </c>
      <c r="O16" s="101"/>
    </row>
    <row r="17" spans="1:15" x14ac:dyDescent="0.25">
      <c r="A17" s="77">
        <v>11</v>
      </c>
      <c r="B17" s="77" t="s">
        <v>244</v>
      </c>
      <c r="C17" s="32">
        <f>'Release Calculations - 100k lbs'!F43</f>
        <v>63.502931800000006</v>
      </c>
      <c r="D17" s="85">
        <f>'Release Calculations - 100k lbs'!G43</f>
        <v>2</v>
      </c>
      <c r="E17" s="85"/>
      <c r="F17" s="86">
        <f>'Release Calculations - 100k lbs'!H43</f>
        <v>140</v>
      </c>
      <c r="G17" s="87"/>
      <c r="H17" s="93">
        <f>'Release Calculations - 100k lbs'!M43</f>
        <v>1E-3</v>
      </c>
      <c r="I17" s="93"/>
      <c r="J17" s="93">
        <f>'Release Calculations - 100k lbs'!N43</f>
        <v>0.02</v>
      </c>
      <c r="K17" s="93"/>
      <c r="L17" s="93">
        <f>'Release Calculations - 100k lbs'!K43</f>
        <v>0</v>
      </c>
      <c r="M17" s="93"/>
      <c r="N17" s="93">
        <f>'Release Calculations - 100k lbs'!O43</f>
        <v>0</v>
      </c>
      <c r="O17" s="93"/>
    </row>
    <row r="18" spans="1:15" ht="25.5" x14ac:dyDescent="0.25">
      <c r="A18" s="77">
        <v>12</v>
      </c>
      <c r="B18" s="77" t="s">
        <v>245</v>
      </c>
      <c r="C18" s="32">
        <f>'Release Calculations - 100k lbs'!F47</f>
        <v>2267.9618500000001</v>
      </c>
      <c r="D18" s="85">
        <f>'Release Calculations - 100k lbs'!G47</f>
        <v>1</v>
      </c>
      <c r="E18" s="85"/>
      <c r="F18" s="86" t="str">
        <f>'Release Calculations - 100k lbs'!H47</f>
        <v>5 to 300 days</v>
      </c>
      <c r="G18" s="87"/>
      <c r="H18" s="86" t="s">
        <v>246</v>
      </c>
      <c r="I18" s="88"/>
      <c r="J18" s="88"/>
      <c r="K18" s="88"/>
      <c r="L18" s="88"/>
      <c r="M18" s="88"/>
      <c r="N18" s="88"/>
      <c r="O18" s="87"/>
    </row>
    <row r="19" spans="1:15" x14ac:dyDescent="0.25">
      <c r="A19" s="77">
        <v>13</v>
      </c>
      <c r="B19" s="77" t="s">
        <v>247</v>
      </c>
      <c r="C19" s="32" t="e">
        <f>'Release Calculations - 100k lbs'!#REF!</f>
        <v>#REF!</v>
      </c>
      <c r="D19" s="85" t="e">
        <f>'Release Calculations - 100k lbs'!#REF!</f>
        <v>#REF!</v>
      </c>
      <c r="E19" s="85"/>
      <c r="F19" s="77" t="e">
        <f>'Release Calculations - 100k lbs'!#REF!</f>
        <v>#REF!</v>
      </c>
      <c r="G19" s="77" t="e">
        <f>'Release Calculations - 100k lbs'!#REF!</f>
        <v>#REF!</v>
      </c>
      <c r="H19" s="33" t="e">
        <f>'Release Calculations - 100k lbs'!#REF!</f>
        <v>#REF!</v>
      </c>
      <c r="I19" s="33" t="e">
        <f>'Release Calculations - 100k lbs'!#REF!</f>
        <v>#REF!</v>
      </c>
      <c r="J19" s="78" t="e">
        <f>'Release Calculations - 100k lbs'!#REF!</f>
        <v>#REF!</v>
      </c>
      <c r="K19" s="78" t="e">
        <f>'Release Calculations - 100k lbs'!#REF!</f>
        <v>#REF!</v>
      </c>
      <c r="L19" s="78" t="e">
        <f>'Release Calculations - 100k lbs'!#REF!</f>
        <v>#REF!</v>
      </c>
      <c r="M19" s="78" t="e">
        <f>'Release Calculations - 100k lbs'!#REF!</f>
        <v>#REF!</v>
      </c>
      <c r="N19" s="78" t="e">
        <f>'Release Calculations - 100k lbs'!#REF!</f>
        <v>#REF!</v>
      </c>
      <c r="O19" s="78" t="e">
        <f>'Release Calculations - 100k lbs'!#REF!</f>
        <v>#REF!</v>
      </c>
    </row>
    <row r="20" spans="1:15" x14ac:dyDescent="0.25">
      <c r="A20" s="77">
        <v>14</v>
      </c>
      <c r="B20" s="77" t="s">
        <v>41</v>
      </c>
      <c r="C20" s="32">
        <f>'Release Calculations - 100k lbs'!F49</f>
        <v>2267.9618500000001</v>
      </c>
      <c r="D20" s="86">
        <f>'Release Calculations - 100k lbs'!G49</f>
        <v>227</v>
      </c>
      <c r="E20" s="87"/>
      <c r="F20" s="86">
        <f>'Release Calculations - 100k lbs'!H49</f>
        <v>4</v>
      </c>
      <c r="G20" s="87"/>
      <c r="H20" s="89">
        <f>'Release Calculations - 100k lbs'!I49</f>
        <v>0</v>
      </c>
      <c r="I20" s="90"/>
      <c r="J20" s="89">
        <f>'Release Calculations - 100k lbs'!J49</f>
        <v>0.01</v>
      </c>
      <c r="K20" s="87"/>
      <c r="L20" s="89">
        <f>'Release Calculations - 100k lbs'!M49</f>
        <v>9.0000000000000011E-2</v>
      </c>
      <c r="M20" s="90"/>
      <c r="N20" s="89">
        <f>'Release Calculations - 100k lbs'!L49</f>
        <v>0</v>
      </c>
      <c r="O20" s="90"/>
    </row>
  </sheetData>
  <mergeCells count="63">
    <mergeCell ref="F17:G17"/>
    <mergeCell ref="F18:G18"/>
    <mergeCell ref="F4:G6"/>
    <mergeCell ref="F7:G7"/>
    <mergeCell ref="F8:G8"/>
    <mergeCell ref="F9:G9"/>
    <mergeCell ref="F10:G10"/>
    <mergeCell ref="H17:I17"/>
    <mergeCell ref="J17:K17"/>
    <mergeCell ref="L17:M17"/>
    <mergeCell ref="N17:O17"/>
    <mergeCell ref="D9:E9"/>
    <mergeCell ref="D10:E10"/>
    <mergeCell ref="L9:M9"/>
    <mergeCell ref="N9:O9"/>
    <mergeCell ref="L10:M10"/>
    <mergeCell ref="N10:O10"/>
    <mergeCell ref="N11:O11"/>
    <mergeCell ref="D17:E17"/>
    <mergeCell ref="D11:E11"/>
    <mergeCell ref="L11:M11"/>
    <mergeCell ref="D12:E12"/>
    <mergeCell ref="C13:O13"/>
    <mergeCell ref="N7:O7"/>
    <mergeCell ref="D15:E15"/>
    <mergeCell ref="L15:M15"/>
    <mergeCell ref="N15:O15"/>
    <mergeCell ref="L16:M16"/>
    <mergeCell ref="N16:O16"/>
    <mergeCell ref="H11:I11"/>
    <mergeCell ref="J11:K11"/>
    <mergeCell ref="F11:G11"/>
    <mergeCell ref="F12:G12"/>
    <mergeCell ref="F15:G15"/>
    <mergeCell ref="D16:E16"/>
    <mergeCell ref="F16:G16"/>
    <mergeCell ref="H16:I16"/>
    <mergeCell ref="J16:K16"/>
    <mergeCell ref="A4:A6"/>
    <mergeCell ref="D8:E8"/>
    <mergeCell ref="L8:M8"/>
    <mergeCell ref="N8:O8"/>
    <mergeCell ref="B4:B6"/>
    <mergeCell ref="C4:C6"/>
    <mergeCell ref="D4:E5"/>
    <mergeCell ref="H4:O4"/>
    <mergeCell ref="H5:I5"/>
    <mergeCell ref="J5:K5"/>
    <mergeCell ref="L5:M5"/>
    <mergeCell ref="N5:O5"/>
    <mergeCell ref="D7:E7"/>
    <mergeCell ref="H7:I7"/>
    <mergeCell ref="J7:K7"/>
    <mergeCell ref="L7:M7"/>
    <mergeCell ref="D20:E20"/>
    <mergeCell ref="H18:O18"/>
    <mergeCell ref="H20:I20"/>
    <mergeCell ref="J20:K20"/>
    <mergeCell ref="L20:M20"/>
    <mergeCell ref="N20:O20"/>
    <mergeCell ref="F20:G20"/>
    <mergeCell ref="D18:E18"/>
    <mergeCell ref="D19:E19"/>
  </mergeCells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02E53F-7130-4C46-8EFB-F86539C1D795}">
  <dimension ref="A1:AQ20"/>
  <sheetViews>
    <sheetView zoomScale="90" zoomScaleNormal="90" workbookViewId="0">
      <pane xSplit="2" ySplit="6" topLeftCell="C7" activePane="bottomRight" state="frozen"/>
      <selection pane="topRight" activeCell="B4" sqref="B4"/>
      <selection pane="bottomLeft" activeCell="B4" sqref="B4"/>
      <selection pane="bottomRight" activeCell="A3" sqref="A3"/>
    </sheetView>
  </sheetViews>
  <sheetFormatPr defaultRowHeight="15" x14ac:dyDescent="0.25"/>
  <cols>
    <col min="1" max="1" width="9.140625" style="125"/>
    <col min="2" max="2" width="35.42578125" style="136" customWidth="1"/>
    <col min="3" max="4" width="36.28515625" style="125" customWidth="1"/>
    <col min="5" max="5" width="30.28515625" style="125" customWidth="1"/>
    <col min="6" max="6" width="14.140625" style="138" customWidth="1"/>
    <col min="7" max="7" width="16.140625" style="125" bestFit="1" customWidth="1"/>
    <col min="8" max="8" width="19.7109375" style="125" customWidth="1"/>
    <col min="9" max="9" width="20.5703125" style="139" customWidth="1"/>
    <col min="10" max="10" width="16.5703125" style="139" customWidth="1"/>
    <col min="11" max="15" width="16.5703125" style="125" customWidth="1"/>
    <col min="16" max="16" width="27.42578125" style="140" customWidth="1"/>
    <col min="17" max="17" width="27.42578125" style="125" customWidth="1"/>
    <col min="18" max="19" width="14.42578125" style="125" customWidth="1"/>
    <col min="20" max="20" width="20.7109375" style="125" customWidth="1"/>
    <col min="21" max="21" width="16.7109375" style="125" bestFit="1" customWidth="1"/>
    <col min="22" max="24" width="32.42578125" style="125" customWidth="1"/>
    <col min="25" max="25" width="25.28515625" style="140" customWidth="1"/>
    <col min="26" max="26" width="25.28515625" style="125" customWidth="1"/>
    <col min="27" max="27" width="11.140625" style="125" bestFit="1" customWidth="1"/>
    <col min="28" max="28" width="13.7109375" style="125" bestFit="1" customWidth="1"/>
    <col min="29" max="29" width="14.5703125" style="125" customWidth="1"/>
    <col min="30" max="30" width="16.7109375" style="125" bestFit="1" customWidth="1"/>
    <col min="31" max="33" width="31.5703125" style="125" customWidth="1"/>
    <col min="34" max="34" width="16" style="140" customWidth="1"/>
    <col min="35" max="35" width="16" style="125" customWidth="1"/>
    <col min="36" max="37" width="14.140625" style="125" customWidth="1"/>
    <col min="38" max="38" width="17" style="125" customWidth="1"/>
    <col min="39" max="39" width="16.7109375" style="125" bestFit="1" customWidth="1"/>
    <col min="40" max="42" width="30.7109375" style="125" customWidth="1"/>
    <col min="43" max="43" width="9.140625" style="140"/>
    <col min="44" max="16384" width="9.140625" style="125"/>
  </cols>
  <sheetData>
    <row r="1" spans="1:43" x14ac:dyDescent="0.25">
      <c r="A1" s="136" t="s">
        <v>248</v>
      </c>
      <c r="Y1" s="125"/>
    </row>
    <row r="2" spans="1:43" ht="15.75" thickBot="1" x14ac:dyDescent="0.3">
      <c r="A2" s="141"/>
      <c r="P2" s="142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</row>
    <row r="3" spans="1:43" ht="15.75" thickBot="1" x14ac:dyDescent="0.3">
      <c r="B3" s="144" t="s">
        <v>44</v>
      </c>
      <c r="C3" s="145" t="s">
        <v>45</v>
      </c>
      <c r="D3" s="146" t="s">
        <v>46</v>
      </c>
      <c r="G3" s="147"/>
      <c r="P3" s="148"/>
      <c r="Q3" s="149"/>
      <c r="R3" s="150"/>
      <c r="S3" s="150"/>
      <c r="Y3" s="149"/>
      <c r="Z3" s="149"/>
      <c r="AA3" s="150"/>
      <c r="AB3" s="150"/>
      <c r="AH3" s="149"/>
      <c r="AI3" s="149"/>
      <c r="AJ3" s="150"/>
      <c r="AK3" s="150"/>
    </row>
    <row r="4" spans="1:43" ht="15.75" thickBot="1" x14ac:dyDescent="0.3">
      <c r="B4" s="151"/>
      <c r="C4" s="152">
        <v>50000</v>
      </c>
      <c r="D4" s="153">
        <f>CONVERT(C4,"lbm","g")/1000</f>
        <v>22679.6185</v>
      </c>
      <c r="P4" s="533" t="s">
        <v>47</v>
      </c>
      <c r="Q4" s="534"/>
      <c r="R4" s="534"/>
      <c r="S4" s="534"/>
      <c r="T4" s="534"/>
      <c r="U4" s="534"/>
      <c r="V4" s="534"/>
      <c r="W4" s="534"/>
      <c r="X4" s="535"/>
      <c r="Y4" s="533" t="s">
        <v>48</v>
      </c>
      <c r="Z4" s="534"/>
      <c r="AA4" s="534"/>
      <c r="AB4" s="534"/>
      <c r="AC4" s="534"/>
      <c r="AD4" s="534"/>
      <c r="AE4" s="534"/>
      <c r="AF4" s="534"/>
      <c r="AG4" s="535"/>
      <c r="AH4" s="533" t="s">
        <v>49</v>
      </c>
      <c r="AI4" s="534"/>
      <c r="AJ4" s="534"/>
      <c r="AK4" s="534"/>
      <c r="AL4" s="534"/>
      <c r="AM4" s="534"/>
      <c r="AN4" s="534"/>
      <c r="AO4" s="534"/>
      <c r="AP4" s="535"/>
      <c r="AQ4" s="157"/>
    </row>
    <row r="5" spans="1:43" ht="15" customHeight="1" x14ac:dyDescent="0.25">
      <c r="A5" s="536" t="s">
        <v>27</v>
      </c>
      <c r="B5" s="537"/>
      <c r="C5" s="538" t="s">
        <v>50</v>
      </c>
      <c r="D5" s="161" t="s">
        <v>51</v>
      </c>
      <c r="E5" s="162" t="s">
        <v>52</v>
      </c>
      <c r="F5" s="162"/>
      <c r="G5" s="162"/>
      <c r="H5" s="163"/>
      <c r="I5" s="164" t="s">
        <v>53</v>
      </c>
      <c r="J5" s="165"/>
      <c r="K5" s="165"/>
      <c r="L5" s="165"/>
      <c r="M5" s="165"/>
      <c r="N5" s="165"/>
      <c r="O5" s="166"/>
      <c r="P5" s="167" t="s">
        <v>54</v>
      </c>
      <c r="Q5" s="168"/>
      <c r="R5" s="168"/>
      <c r="S5" s="168"/>
      <c r="T5" s="168"/>
      <c r="U5" s="168"/>
      <c r="V5" s="168"/>
      <c r="W5" s="168"/>
      <c r="X5" s="169"/>
      <c r="Y5" s="167" t="s">
        <v>55</v>
      </c>
      <c r="Z5" s="168"/>
      <c r="AA5" s="168"/>
      <c r="AB5" s="168"/>
      <c r="AC5" s="168"/>
      <c r="AD5" s="168"/>
      <c r="AE5" s="168"/>
      <c r="AF5" s="168"/>
      <c r="AG5" s="169"/>
      <c r="AH5" s="167" t="s">
        <v>56</v>
      </c>
      <c r="AI5" s="168"/>
      <c r="AJ5" s="168"/>
      <c r="AK5" s="168"/>
      <c r="AL5" s="168"/>
      <c r="AM5" s="168"/>
      <c r="AN5" s="168"/>
      <c r="AO5" s="168"/>
      <c r="AP5" s="169"/>
      <c r="AQ5" s="157"/>
    </row>
    <row r="6" spans="1:43" s="183" customFormat="1" ht="29.25" thickBot="1" x14ac:dyDescent="0.25">
      <c r="A6" s="539"/>
      <c r="B6" s="540"/>
      <c r="C6" s="541"/>
      <c r="D6" s="173"/>
      <c r="E6" s="174" t="s">
        <v>57</v>
      </c>
      <c r="F6" s="175" t="s">
        <v>58</v>
      </c>
      <c r="G6" s="176" t="s">
        <v>59</v>
      </c>
      <c r="H6" s="177" t="s">
        <v>60</v>
      </c>
      <c r="I6" s="178" t="s">
        <v>61</v>
      </c>
      <c r="J6" s="179" t="s">
        <v>62</v>
      </c>
      <c r="K6" s="176" t="s">
        <v>63</v>
      </c>
      <c r="L6" s="176" t="s">
        <v>64</v>
      </c>
      <c r="M6" s="180" t="s">
        <v>65</v>
      </c>
      <c r="N6" s="180" t="s">
        <v>65</v>
      </c>
      <c r="O6" s="181" t="s">
        <v>65</v>
      </c>
      <c r="P6" s="182" t="s">
        <v>66</v>
      </c>
      <c r="Q6" s="176" t="s">
        <v>67</v>
      </c>
      <c r="R6" s="176" t="s">
        <v>68</v>
      </c>
      <c r="S6" s="176" t="s">
        <v>69</v>
      </c>
      <c r="T6" s="176" t="s">
        <v>70</v>
      </c>
      <c r="U6" s="176" t="s">
        <v>71</v>
      </c>
      <c r="V6" s="176" t="s">
        <v>72</v>
      </c>
      <c r="W6" s="176" t="s">
        <v>72</v>
      </c>
      <c r="X6" s="177" t="s">
        <v>72</v>
      </c>
      <c r="Y6" s="182" t="s">
        <v>66</v>
      </c>
      <c r="Z6" s="176" t="s">
        <v>67</v>
      </c>
      <c r="AA6" s="176" t="s">
        <v>68</v>
      </c>
      <c r="AB6" s="176" t="s">
        <v>69</v>
      </c>
      <c r="AC6" s="176" t="s">
        <v>70</v>
      </c>
      <c r="AD6" s="176" t="s">
        <v>71</v>
      </c>
      <c r="AE6" s="176" t="s">
        <v>72</v>
      </c>
      <c r="AF6" s="176" t="s">
        <v>72</v>
      </c>
      <c r="AG6" s="177" t="s">
        <v>72</v>
      </c>
      <c r="AH6" s="182" t="s">
        <v>66</v>
      </c>
      <c r="AI6" s="176" t="s">
        <v>67</v>
      </c>
      <c r="AJ6" s="176" t="s">
        <v>68</v>
      </c>
      <c r="AK6" s="176" t="s">
        <v>69</v>
      </c>
      <c r="AL6" s="176" t="s">
        <v>70</v>
      </c>
      <c r="AM6" s="176" t="s">
        <v>71</v>
      </c>
      <c r="AN6" s="176" t="s">
        <v>72</v>
      </c>
      <c r="AO6" s="176" t="s">
        <v>72</v>
      </c>
      <c r="AP6" s="177" t="s">
        <v>72</v>
      </c>
    </row>
    <row r="7" spans="1:43" s="150" customFormat="1" ht="42.75" x14ac:dyDescent="0.2">
      <c r="A7" s="234">
        <v>1</v>
      </c>
      <c r="B7" s="235" t="s">
        <v>30</v>
      </c>
      <c r="C7" s="186" t="s">
        <v>50</v>
      </c>
      <c r="D7" s="187" t="s">
        <v>51</v>
      </c>
      <c r="E7" s="188" t="s">
        <v>57</v>
      </c>
      <c r="F7" s="189" t="s">
        <v>58</v>
      </c>
      <c r="G7" s="190" t="s">
        <v>59</v>
      </c>
      <c r="H7" s="191" t="s">
        <v>60</v>
      </c>
      <c r="I7" s="192" t="s">
        <v>61</v>
      </c>
      <c r="J7" s="193" t="s">
        <v>62</v>
      </c>
      <c r="K7" s="190" t="s">
        <v>63</v>
      </c>
      <c r="L7" s="190" t="s">
        <v>64</v>
      </c>
      <c r="M7" s="194" t="s">
        <v>73</v>
      </c>
      <c r="N7" s="195" t="s">
        <v>65</v>
      </c>
      <c r="O7" s="196" t="s">
        <v>65</v>
      </c>
      <c r="P7" s="197" t="s">
        <v>66</v>
      </c>
      <c r="Q7" s="190" t="s">
        <v>67</v>
      </c>
      <c r="R7" s="190" t="s">
        <v>68</v>
      </c>
      <c r="S7" s="190" t="s">
        <v>69</v>
      </c>
      <c r="T7" s="190" t="s">
        <v>70</v>
      </c>
      <c r="U7" s="190" t="s">
        <v>71</v>
      </c>
      <c r="V7" s="190" t="s">
        <v>74</v>
      </c>
      <c r="W7" s="190" t="s">
        <v>72</v>
      </c>
      <c r="X7" s="191" t="s">
        <v>72</v>
      </c>
      <c r="Y7" s="197" t="s">
        <v>66</v>
      </c>
      <c r="Z7" s="190" t="s">
        <v>67</v>
      </c>
      <c r="AA7" s="190" t="s">
        <v>68</v>
      </c>
      <c r="AB7" s="190" t="s">
        <v>69</v>
      </c>
      <c r="AC7" s="190" t="s">
        <v>70</v>
      </c>
      <c r="AD7" s="190" t="s">
        <v>71</v>
      </c>
      <c r="AE7" s="190" t="s">
        <v>74</v>
      </c>
      <c r="AF7" s="190" t="s">
        <v>72</v>
      </c>
      <c r="AG7" s="191" t="s">
        <v>72</v>
      </c>
      <c r="AH7" s="197" t="s">
        <v>66</v>
      </c>
      <c r="AI7" s="190" t="s">
        <v>67</v>
      </c>
      <c r="AJ7" s="190" t="s">
        <v>68</v>
      </c>
      <c r="AK7" s="190" t="s">
        <v>69</v>
      </c>
      <c r="AL7" s="190" t="s">
        <v>70</v>
      </c>
      <c r="AM7" s="190" t="s">
        <v>71</v>
      </c>
      <c r="AN7" s="190" t="s">
        <v>75</v>
      </c>
      <c r="AO7" s="190" t="s">
        <v>72</v>
      </c>
      <c r="AP7" s="191" t="s">
        <v>72</v>
      </c>
    </row>
    <row r="8" spans="1:43" ht="54" customHeight="1" x14ac:dyDescent="0.25">
      <c r="A8" s="254"/>
      <c r="B8" s="255"/>
      <c r="C8" s="286" t="s">
        <v>76</v>
      </c>
      <c r="D8" s="287" t="s">
        <v>14</v>
      </c>
      <c r="E8" s="202">
        <v>1</v>
      </c>
      <c r="F8" s="203">
        <f t="shared" ref="F8:F15" si="0">$D$4*E8</f>
        <v>22679.6185</v>
      </c>
      <c r="G8" s="202">
        <f>'Release Days and Sites'!M6</f>
        <v>1</v>
      </c>
      <c r="H8" s="204">
        <f>'Release Days and Sites'!F6</f>
        <v>150</v>
      </c>
      <c r="I8" s="205">
        <v>0</v>
      </c>
      <c r="J8" s="206">
        <v>0</v>
      </c>
      <c r="K8" s="207">
        <f>'Releases_Exp. Scen. 1'!H6</f>
        <v>0.01</v>
      </c>
      <c r="L8" s="206">
        <v>0</v>
      </c>
      <c r="M8" s="207">
        <f>'Releases_Exp. Scen. 1'!H5</f>
        <v>1E-3</v>
      </c>
      <c r="N8" s="207"/>
      <c r="O8" s="208"/>
      <c r="P8" s="209" t="s">
        <v>77</v>
      </c>
      <c r="Q8" s="210" t="s">
        <v>77</v>
      </c>
      <c r="R8" s="210" t="s">
        <v>77</v>
      </c>
      <c r="S8" s="210" t="s">
        <v>77</v>
      </c>
      <c r="T8" s="211">
        <f>$F8/$G8*K8/$H8</f>
        <v>1.5119745666666666</v>
      </c>
      <c r="U8" s="210" t="s">
        <v>77</v>
      </c>
      <c r="V8" s="212">
        <f>$F8/$G8*M8/$H8</f>
        <v>0.15119745666666667</v>
      </c>
      <c r="W8" s="210" t="s">
        <v>77</v>
      </c>
      <c r="X8" s="213" t="s">
        <v>77</v>
      </c>
      <c r="Y8" s="209" t="s">
        <v>77</v>
      </c>
      <c r="Z8" s="210" t="s">
        <v>77</v>
      </c>
      <c r="AA8" s="210" t="s">
        <v>77</v>
      </c>
      <c r="AB8" s="210" t="s">
        <v>77</v>
      </c>
      <c r="AC8" s="214">
        <f>T8*$H8</f>
        <v>226.79618500000001</v>
      </c>
      <c r="AD8" s="210" t="s">
        <v>77</v>
      </c>
      <c r="AE8" s="214">
        <f>V8*$H8</f>
        <v>22.6796185</v>
      </c>
      <c r="AF8" s="210" t="s">
        <v>77</v>
      </c>
      <c r="AG8" s="213" t="s">
        <v>77</v>
      </c>
      <c r="AH8" s="209" t="s">
        <v>77</v>
      </c>
      <c r="AI8" s="210" t="s">
        <v>77</v>
      </c>
      <c r="AJ8" s="210" t="s">
        <v>77</v>
      </c>
      <c r="AK8" s="210" t="s">
        <v>77</v>
      </c>
      <c r="AL8" s="214">
        <f>AC8*$G8</f>
        <v>226.79618500000001</v>
      </c>
      <c r="AM8" s="210" t="s">
        <v>77</v>
      </c>
      <c r="AN8" s="214">
        <f>AE8*$G8</f>
        <v>22.6796185</v>
      </c>
      <c r="AO8" s="210" t="s">
        <v>77</v>
      </c>
      <c r="AP8" s="213" t="s">
        <v>77</v>
      </c>
      <c r="AQ8" s="125"/>
    </row>
    <row r="9" spans="1:43" ht="54" customHeight="1" x14ac:dyDescent="0.25">
      <c r="A9" s="254"/>
      <c r="B9" s="255"/>
      <c r="C9" s="286"/>
      <c r="D9" s="287"/>
      <c r="E9" s="202">
        <v>1</v>
      </c>
      <c r="F9" s="428">
        <f t="shared" si="0"/>
        <v>22679.6185</v>
      </c>
      <c r="G9" s="202">
        <f>'Release Days and Sites'!L6</f>
        <v>1</v>
      </c>
      <c r="H9" s="204">
        <f>'Release Days and Sites'!E6</f>
        <v>15</v>
      </c>
      <c r="I9" s="205">
        <v>0</v>
      </c>
      <c r="J9" s="206">
        <v>0</v>
      </c>
      <c r="K9" s="207">
        <f>'Releases_Exp. Scen. 1'!H6</f>
        <v>0.01</v>
      </c>
      <c r="L9" s="206">
        <v>0</v>
      </c>
      <c r="M9" s="207">
        <f>'Releases_Exp. Scen. 1'!H5</f>
        <v>1E-3</v>
      </c>
      <c r="N9" s="207"/>
      <c r="O9" s="208"/>
      <c r="P9" s="209" t="s">
        <v>77</v>
      </c>
      <c r="Q9" s="210" t="s">
        <v>77</v>
      </c>
      <c r="R9" s="210" t="s">
        <v>77</v>
      </c>
      <c r="S9" s="210" t="s">
        <v>77</v>
      </c>
      <c r="T9" s="211">
        <f>$F9/$G9*K9/$H9</f>
        <v>15.119745666666667</v>
      </c>
      <c r="U9" s="210" t="s">
        <v>77</v>
      </c>
      <c r="V9" s="212">
        <f>$F9/$G9*M9/$H9</f>
        <v>1.5119745666666666</v>
      </c>
      <c r="W9" s="210" t="s">
        <v>77</v>
      </c>
      <c r="X9" s="213" t="s">
        <v>77</v>
      </c>
      <c r="Y9" s="209" t="s">
        <v>77</v>
      </c>
      <c r="Z9" s="210" t="s">
        <v>77</v>
      </c>
      <c r="AA9" s="210" t="s">
        <v>77</v>
      </c>
      <c r="AB9" s="210" t="s">
        <v>77</v>
      </c>
      <c r="AC9" s="214">
        <f t="shared" ref="AC9:AE11" si="1">T9*$H9</f>
        <v>226.79618500000001</v>
      </c>
      <c r="AD9" s="210" t="s">
        <v>77</v>
      </c>
      <c r="AE9" s="214">
        <f t="shared" si="1"/>
        <v>22.6796185</v>
      </c>
      <c r="AF9" s="210" t="s">
        <v>77</v>
      </c>
      <c r="AG9" s="213" t="s">
        <v>77</v>
      </c>
      <c r="AH9" s="209" t="s">
        <v>77</v>
      </c>
      <c r="AI9" s="210" t="s">
        <v>77</v>
      </c>
      <c r="AJ9" s="210" t="s">
        <v>77</v>
      </c>
      <c r="AK9" s="210" t="s">
        <v>77</v>
      </c>
      <c r="AL9" s="214">
        <f>AC9*$G9</f>
        <v>226.79618500000001</v>
      </c>
      <c r="AM9" s="210" t="s">
        <v>77</v>
      </c>
      <c r="AN9" s="214">
        <f>AE9*$G9</f>
        <v>22.6796185</v>
      </c>
      <c r="AO9" s="210" t="s">
        <v>77</v>
      </c>
      <c r="AP9" s="213" t="s">
        <v>77</v>
      </c>
      <c r="AQ9" s="125"/>
    </row>
    <row r="10" spans="1:43" ht="54" customHeight="1" x14ac:dyDescent="0.25">
      <c r="A10" s="254"/>
      <c r="B10" s="255"/>
      <c r="C10" s="286" t="s">
        <v>78</v>
      </c>
      <c r="D10" s="287"/>
      <c r="E10" s="202">
        <v>1</v>
      </c>
      <c r="F10" s="203">
        <f t="shared" si="0"/>
        <v>22679.6185</v>
      </c>
      <c r="G10" s="202">
        <f>'Release Days and Sites'!M6</f>
        <v>1</v>
      </c>
      <c r="H10" s="204">
        <f>'Release Days and Sites'!F6</f>
        <v>150</v>
      </c>
      <c r="I10" s="205">
        <v>0</v>
      </c>
      <c r="J10" s="206">
        <v>0</v>
      </c>
      <c r="K10" s="207">
        <f>'Releases_Exp. Scen. 1'!I6</f>
        <v>0.01</v>
      </c>
      <c r="L10" s="206">
        <v>0</v>
      </c>
      <c r="M10" s="207">
        <f>'Releases_Exp. Scen. 1'!I5</f>
        <v>5.0000000000000001E-3</v>
      </c>
      <c r="N10" s="207"/>
      <c r="O10" s="208"/>
      <c r="P10" s="209" t="s">
        <v>77</v>
      </c>
      <c r="Q10" s="210" t="s">
        <v>77</v>
      </c>
      <c r="R10" s="210" t="s">
        <v>77</v>
      </c>
      <c r="S10" s="210" t="s">
        <v>77</v>
      </c>
      <c r="T10" s="211">
        <f>$F10/$G10*K10/$H10</f>
        <v>1.5119745666666666</v>
      </c>
      <c r="U10" s="210" t="s">
        <v>77</v>
      </c>
      <c r="V10" s="212">
        <f>$F10/$G10*M10/$H10</f>
        <v>0.75598728333333332</v>
      </c>
      <c r="W10" s="210" t="s">
        <v>77</v>
      </c>
      <c r="X10" s="213" t="s">
        <v>77</v>
      </c>
      <c r="Y10" s="209" t="s">
        <v>77</v>
      </c>
      <c r="Z10" s="210" t="s">
        <v>77</v>
      </c>
      <c r="AA10" s="210" t="s">
        <v>77</v>
      </c>
      <c r="AB10" s="210" t="s">
        <v>77</v>
      </c>
      <c r="AC10" s="214">
        <f t="shared" si="1"/>
        <v>226.79618500000001</v>
      </c>
      <c r="AD10" s="210" t="s">
        <v>77</v>
      </c>
      <c r="AE10" s="214">
        <f t="shared" si="1"/>
        <v>113.3980925</v>
      </c>
      <c r="AF10" s="210" t="s">
        <v>77</v>
      </c>
      <c r="AG10" s="213" t="s">
        <v>77</v>
      </c>
      <c r="AH10" s="209" t="s">
        <v>77</v>
      </c>
      <c r="AI10" s="210" t="s">
        <v>77</v>
      </c>
      <c r="AJ10" s="210" t="s">
        <v>77</v>
      </c>
      <c r="AK10" s="210" t="s">
        <v>77</v>
      </c>
      <c r="AL10" s="214">
        <f>AC10*$G10</f>
        <v>226.79618500000001</v>
      </c>
      <c r="AM10" s="210" t="s">
        <v>77</v>
      </c>
      <c r="AN10" s="214">
        <f>AE10*$G10</f>
        <v>113.3980925</v>
      </c>
      <c r="AO10" s="210" t="s">
        <v>77</v>
      </c>
      <c r="AP10" s="213" t="s">
        <v>77</v>
      </c>
      <c r="AQ10" s="125"/>
    </row>
    <row r="11" spans="1:43" ht="54" customHeight="1" thickBot="1" x14ac:dyDescent="0.3">
      <c r="A11" s="269"/>
      <c r="B11" s="270"/>
      <c r="C11" s="295"/>
      <c r="D11" s="296"/>
      <c r="E11" s="221">
        <v>1</v>
      </c>
      <c r="F11" s="222">
        <f t="shared" si="0"/>
        <v>22679.6185</v>
      </c>
      <c r="G11" s="221">
        <f>'Release Days and Sites'!L6</f>
        <v>1</v>
      </c>
      <c r="H11" s="223">
        <f>'Release Days and Sites'!E6</f>
        <v>15</v>
      </c>
      <c r="I11" s="224">
        <v>0</v>
      </c>
      <c r="J11" s="225">
        <v>0</v>
      </c>
      <c r="K11" s="226">
        <f>'Releases_Exp. Scen. 1'!I6</f>
        <v>0.01</v>
      </c>
      <c r="L11" s="225">
        <v>0</v>
      </c>
      <c r="M11" s="226">
        <f>'Releases_Exp. Scen. 1'!I5</f>
        <v>5.0000000000000001E-3</v>
      </c>
      <c r="N11" s="226"/>
      <c r="O11" s="227"/>
      <c r="P11" s="228" t="s">
        <v>77</v>
      </c>
      <c r="Q11" s="229" t="s">
        <v>77</v>
      </c>
      <c r="R11" s="229" t="s">
        <v>77</v>
      </c>
      <c r="S11" s="229" t="s">
        <v>77</v>
      </c>
      <c r="T11" s="230">
        <f>$F11/$G11*K11/$H11</f>
        <v>15.119745666666667</v>
      </c>
      <c r="U11" s="229" t="s">
        <v>77</v>
      </c>
      <c r="V11" s="231">
        <f>$F11/$G11*M11/$H11</f>
        <v>7.5598728333333334</v>
      </c>
      <c r="W11" s="229" t="s">
        <v>77</v>
      </c>
      <c r="X11" s="232" t="s">
        <v>77</v>
      </c>
      <c r="Y11" s="228" t="s">
        <v>77</v>
      </c>
      <c r="Z11" s="229" t="s">
        <v>77</v>
      </c>
      <c r="AA11" s="229" t="s">
        <v>77</v>
      </c>
      <c r="AB11" s="229" t="s">
        <v>77</v>
      </c>
      <c r="AC11" s="233">
        <f t="shared" si="1"/>
        <v>226.79618500000001</v>
      </c>
      <c r="AD11" s="229" t="s">
        <v>77</v>
      </c>
      <c r="AE11" s="233">
        <f t="shared" si="1"/>
        <v>113.3980925</v>
      </c>
      <c r="AF11" s="229" t="s">
        <v>77</v>
      </c>
      <c r="AG11" s="232" t="s">
        <v>77</v>
      </c>
      <c r="AH11" s="228" t="s">
        <v>77</v>
      </c>
      <c r="AI11" s="229" t="s">
        <v>77</v>
      </c>
      <c r="AJ11" s="229" t="s">
        <v>77</v>
      </c>
      <c r="AK11" s="229" t="s">
        <v>77</v>
      </c>
      <c r="AL11" s="233">
        <f>AC11*$G11</f>
        <v>226.79618500000001</v>
      </c>
      <c r="AM11" s="229" t="s">
        <v>77</v>
      </c>
      <c r="AN11" s="233">
        <f>AE11*$G11</f>
        <v>113.3980925</v>
      </c>
      <c r="AO11" s="229" t="s">
        <v>77</v>
      </c>
      <c r="AP11" s="232" t="s">
        <v>77</v>
      </c>
      <c r="AQ11" s="125"/>
    </row>
    <row r="12" spans="1:43" ht="45" customHeight="1" x14ac:dyDescent="0.25">
      <c r="A12" s="281">
        <v>3</v>
      </c>
      <c r="B12" s="235" t="s">
        <v>32</v>
      </c>
      <c r="C12" s="281" t="s">
        <v>79</v>
      </c>
      <c r="D12" s="282" t="s">
        <v>16</v>
      </c>
      <c r="E12" s="238">
        <v>1</v>
      </c>
      <c r="F12" s="239">
        <f t="shared" si="0"/>
        <v>22679.6185</v>
      </c>
      <c r="G12" s="238">
        <f>'Release Days and Sites'!M8</f>
        <v>1</v>
      </c>
      <c r="H12" s="243" t="str">
        <f>'Release Days and Sites'!F8</f>
        <v>15 (water); 16 (air)</v>
      </c>
      <c r="I12" s="241">
        <f>'Releases_Exp. Scen. 3'!C20</f>
        <v>5.7872044506258695E-5</v>
      </c>
      <c r="J12" s="242">
        <f>'Releases_Exp. Scen. 3'!B20</f>
        <v>1.070931849791377E-5</v>
      </c>
      <c r="K12" s="238"/>
      <c r="L12" s="238"/>
      <c r="M12" s="238"/>
      <c r="N12" s="238"/>
      <c r="O12" s="243"/>
      <c r="P12" s="251">
        <f>$F12/$G12*I12/16</f>
        <v>8.2032243201060506E-2</v>
      </c>
      <c r="Q12" s="252"/>
      <c r="R12" s="252">
        <f>$F12/$G12*J12/15</f>
        <v>1.619221719517849E-2</v>
      </c>
      <c r="S12" s="252"/>
      <c r="T12" s="246" t="s">
        <v>77</v>
      </c>
      <c r="U12" s="246" t="s">
        <v>77</v>
      </c>
      <c r="V12" s="246" t="s">
        <v>77</v>
      </c>
      <c r="W12" s="246" t="s">
        <v>77</v>
      </c>
      <c r="X12" s="247" t="s">
        <v>77</v>
      </c>
      <c r="Y12" s="283">
        <f>P12*16</f>
        <v>1.3125158912169681</v>
      </c>
      <c r="Z12" s="284"/>
      <c r="AA12" s="252">
        <f>R12*15</f>
        <v>0.24288325792767734</v>
      </c>
      <c r="AB12" s="252"/>
      <c r="AC12" s="246" t="s">
        <v>77</v>
      </c>
      <c r="AD12" s="246" t="s">
        <v>77</v>
      </c>
      <c r="AE12" s="246" t="s">
        <v>77</v>
      </c>
      <c r="AF12" s="246" t="s">
        <v>77</v>
      </c>
      <c r="AG12" s="247" t="s">
        <v>77</v>
      </c>
      <c r="AH12" s="285">
        <f>Y12*$G12</f>
        <v>1.3125158912169681</v>
      </c>
      <c r="AI12" s="250"/>
      <c r="AJ12" s="250">
        <f>AA12*$G12</f>
        <v>0.24288325792767734</v>
      </c>
      <c r="AK12" s="250"/>
      <c r="AL12" s="246" t="s">
        <v>77</v>
      </c>
      <c r="AM12" s="246" t="s">
        <v>77</v>
      </c>
      <c r="AN12" s="246" t="s">
        <v>77</v>
      </c>
      <c r="AO12" s="246" t="s">
        <v>77</v>
      </c>
      <c r="AP12" s="247" t="s">
        <v>77</v>
      </c>
      <c r="AQ12" s="125"/>
    </row>
    <row r="13" spans="1:43" ht="45" customHeight="1" x14ac:dyDescent="0.25">
      <c r="A13" s="286"/>
      <c r="B13" s="255"/>
      <c r="C13" s="286"/>
      <c r="D13" s="287"/>
      <c r="E13" s="202">
        <v>1</v>
      </c>
      <c r="F13" s="203">
        <f t="shared" si="0"/>
        <v>22679.6185</v>
      </c>
      <c r="G13" s="202">
        <f>'Release Days and Sites'!L8</f>
        <v>1</v>
      </c>
      <c r="H13" s="257">
        <f>'Release Days and Sites'!E8</f>
        <v>1</v>
      </c>
      <c r="I13" s="256">
        <f>'Releases_Exp. Scen. 3'!C20</f>
        <v>5.7872044506258695E-5</v>
      </c>
      <c r="J13" s="207">
        <f>'Releases_Exp. Scen. 3'!B20</f>
        <v>1.070931849791377E-5</v>
      </c>
      <c r="K13" s="202"/>
      <c r="L13" s="202"/>
      <c r="M13" s="202"/>
      <c r="N13" s="202"/>
      <c r="O13" s="257"/>
      <c r="P13" s="263">
        <f>$F13/$G13*I13/1</f>
        <v>1.3125158912169681</v>
      </c>
      <c r="Q13" s="264"/>
      <c r="R13" s="264">
        <f>$F13/$G13*J13/1</f>
        <v>0.24288325792767734</v>
      </c>
      <c r="S13" s="264"/>
      <c r="T13" s="210" t="s">
        <v>77</v>
      </c>
      <c r="U13" s="210" t="s">
        <v>77</v>
      </c>
      <c r="V13" s="210" t="s">
        <v>77</v>
      </c>
      <c r="W13" s="210" t="s">
        <v>77</v>
      </c>
      <c r="X13" s="213" t="s">
        <v>77</v>
      </c>
      <c r="Y13" s="288">
        <f>P13*1</f>
        <v>1.3125158912169681</v>
      </c>
      <c r="Z13" s="289"/>
      <c r="AA13" s="264">
        <f>R13*1</f>
        <v>0.24288325792767734</v>
      </c>
      <c r="AB13" s="264"/>
      <c r="AC13" s="210" t="s">
        <v>77</v>
      </c>
      <c r="AD13" s="210" t="s">
        <v>77</v>
      </c>
      <c r="AE13" s="210" t="s">
        <v>77</v>
      </c>
      <c r="AF13" s="210" t="s">
        <v>77</v>
      </c>
      <c r="AG13" s="213" t="s">
        <v>77</v>
      </c>
      <c r="AH13" s="290">
        <f>Y13*$G13</f>
        <v>1.3125158912169681</v>
      </c>
      <c r="AI13" s="262"/>
      <c r="AJ13" s="262">
        <f>AA13*$G13</f>
        <v>0.24288325792767734</v>
      </c>
      <c r="AK13" s="262"/>
      <c r="AL13" s="210" t="s">
        <v>77</v>
      </c>
      <c r="AM13" s="210" t="s">
        <v>77</v>
      </c>
      <c r="AN13" s="210" t="s">
        <v>77</v>
      </c>
      <c r="AO13" s="210" t="s">
        <v>77</v>
      </c>
      <c r="AP13" s="213" t="s">
        <v>77</v>
      </c>
      <c r="AQ13" s="125"/>
    </row>
    <row r="14" spans="1:43" ht="39.75" customHeight="1" x14ac:dyDescent="0.25">
      <c r="A14" s="286"/>
      <c r="B14" s="255"/>
      <c r="C14" s="286" t="s">
        <v>81</v>
      </c>
      <c r="D14" s="287"/>
      <c r="E14" s="202">
        <v>1</v>
      </c>
      <c r="F14" s="203">
        <f t="shared" si="0"/>
        <v>22679.6185</v>
      </c>
      <c r="G14" s="202">
        <f>'Release Days and Sites'!M8</f>
        <v>1</v>
      </c>
      <c r="H14" s="257" t="str">
        <f>'Release Days and Sites'!F8</f>
        <v>15 (water); 16 (air)</v>
      </c>
      <c r="I14" s="256">
        <f>'Releases_Exp. Scen. 3'!C21</f>
        <v>5.7962413452027699E-5</v>
      </c>
      <c r="J14" s="207">
        <f>'Releases_Exp. Scen. 3'!B21</f>
        <v>2.6310583580613257E-5</v>
      </c>
      <c r="K14" s="202"/>
      <c r="L14" s="202"/>
      <c r="M14" s="202"/>
      <c r="N14" s="202"/>
      <c r="O14" s="257"/>
      <c r="P14" s="263">
        <f>$F14/$G14*I14/16</f>
        <v>8.2160339026953522E-2</v>
      </c>
      <c r="Q14" s="264"/>
      <c r="R14" s="262">
        <f>$F14/$G14*J14/15</f>
        <v>3.978093320804485E-2</v>
      </c>
      <c r="S14" s="262"/>
      <c r="T14" s="210" t="s">
        <v>77</v>
      </c>
      <c r="U14" s="210" t="s">
        <v>77</v>
      </c>
      <c r="V14" s="210" t="s">
        <v>77</v>
      </c>
      <c r="W14" s="210" t="s">
        <v>77</v>
      </c>
      <c r="X14" s="213" t="s">
        <v>77</v>
      </c>
      <c r="Y14" s="291">
        <f>P14*16</f>
        <v>1.3145654244312563</v>
      </c>
      <c r="Z14" s="292"/>
      <c r="AA14" s="262">
        <f>R14*15</f>
        <v>0.59671399812067272</v>
      </c>
      <c r="AB14" s="262"/>
      <c r="AC14" s="210" t="s">
        <v>77</v>
      </c>
      <c r="AD14" s="210" t="s">
        <v>77</v>
      </c>
      <c r="AE14" s="210" t="s">
        <v>77</v>
      </c>
      <c r="AF14" s="210" t="s">
        <v>77</v>
      </c>
      <c r="AG14" s="213" t="s">
        <v>77</v>
      </c>
      <c r="AH14" s="293">
        <f>Y14*$G14</f>
        <v>1.3145654244312563</v>
      </c>
      <c r="AI14" s="294"/>
      <c r="AJ14" s="262">
        <f>AA14*$G14</f>
        <v>0.59671399812067272</v>
      </c>
      <c r="AK14" s="262"/>
      <c r="AL14" s="210" t="s">
        <v>77</v>
      </c>
      <c r="AM14" s="210" t="s">
        <v>77</v>
      </c>
      <c r="AN14" s="210" t="s">
        <v>77</v>
      </c>
      <c r="AO14" s="210" t="s">
        <v>77</v>
      </c>
      <c r="AP14" s="213" t="s">
        <v>77</v>
      </c>
      <c r="AQ14" s="125"/>
    </row>
    <row r="15" spans="1:43" ht="39.75" customHeight="1" thickBot="1" x14ac:dyDescent="0.3">
      <c r="A15" s="295"/>
      <c r="B15" s="270"/>
      <c r="C15" s="295"/>
      <c r="D15" s="296"/>
      <c r="E15" s="221">
        <v>1</v>
      </c>
      <c r="F15" s="222">
        <f t="shared" si="0"/>
        <v>22679.6185</v>
      </c>
      <c r="G15" s="221">
        <f>'Release Days and Sites'!L8</f>
        <v>1</v>
      </c>
      <c r="H15" s="272">
        <f>'Release Days and Sites'!E8</f>
        <v>1</v>
      </c>
      <c r="I15" s="271">
        <f>'Releases_Exp. Scen. 3'!C21</f>
        <v>5.7962413452027699E-5</v>
      </c>
      <c r="J15" s="226">
        <f>'Releases_Exp. Scen. 3'!B21</f>
        <v>2.6310583580613257E-5</v>
      </c>
      <c r="K15" s="221"/>
      <c r="L15" s="221"/>
      <c r="M15" s="221"/>
      <c r="N15" s="221"/>
      <c r="O15" s="272"/>
      <c r="P15" s="297">
        <f>$F15/$G15*I15/1</f>
        <v>1.3145654244312563</v>
      </c>
      <c r="Q15" s="298"/>
      <c r="R15" s="299">
        <f>$F15/$G15*J15/1</f>
        <v>0.59671399812067272</v>
      </c>
      <c r="S15" s="299"/>
      <c r="T15" s="229" t="s">
        <v>77</v>
      </c>
      <c r="U15" s="229" t="s">
        <v>77</v>
      </c>
      <c r="V15" s="229" t="s">
        <v>77</v>
      </c>
      <c r="W15" s="229" t="s">
        <v>77</v>
      </c>
      <c r="X15" s="232" t="s">
        <v>77</v>
      </c>
      <c r="Y15" s="300">
        <f>P15*1</f>
        <v>1.3145654244312563</v>
      </c>
      <c r="Z15" s="301"/>
      <c r="AA15" s="299">
        <f>R15*1</f>
        <v>0.59671399812067272</v>
      </c>
      <c r="AB15" s="299"/>
      <c r="AC15" s="229" t="s">
        <v>77</v>
      </c>
      <c r="AD15" s="229" t="s">
        <v>77</v>
      </c>
      <c r="AE15" s="229" t="s">
        <v>77</v>
      </c>
      <c r="AF15" s="229" t="s">
        <v>77</v>
      </c>
      <c r="AG15" s="232" t="s">
        <v>77</v>
      </c>
      <c r="AH15" s="302">
        <f>Y15*$G15</f>
        <v>1.3145654244312563</v>
      </c>
      <c r="AI15" s="303"/>
      <c r="AJ15" s="299">
        <f>AA15*$G15</f>
        <v>0.59671399812067272</v>
      </c>
      <c r="AK15" s="299"/>
      <c r="AL15" s="229" t="s">
        <v>77</v>
      </c>
      <c r="AM15" s="229" t="s">
        <v>77</v>
      </c>
      <c r="AN15" s="229" t="s">
        <v>77</v>
      </c>
      <c r="AO15" s="229" t="s">
        <v>77</v>
      </c>
      <c r="AP15" s="232" t="s">
        <v>77</v>
      </c>
      <c r="AQ15" s="125"/>
    </row>
    <row r="16" spans="1:43" ht="66" customHeight="1" x14ac:dyDescent="0.25">
      <c r="A16" s="234">
        <v>5</v>
      </c>
      <c r="B16" s="235" t="s">
        <v>34</v>
      </c>
      <c r="C16" s="186" t="s">
        <v>50</v>
      </c>
      <c r="D16" s="187" t="s">
        <v>51</v>
      </c>
      <c r="E16" s="188" t="s">
        <v>249</v>
      </c>
      <c r="F16" s="189" t="s">
        <v>58</v>
      </c>
      <c r="G16" s="190" t="s">
        <v>59</v>
      </c>
      <c r="H16" s="191" t="s">
        <v>60</v>
      </c>
      <c r="I16" s="192" t="s">
        <v>61</v>
      </c>
      <c r="J16" s="193" t="s">
        <v>62</v>
      </c>
      <c r="K16" s="190" t="s">
        <v>63</v>
      </c>
      <c r="L16" s="190" t="s">
        <v>64</v>
      </c>
      <c r="M16" s="316" t="s">
        <v>73</v>
      </c>
      <c r="N16" s="316" t="s">
        <v>86</v>
      </c>
      <c r="O16" s="196" t="s">
        <v>87</v>
      </c>
      <c r="P16" s="197" t="s">
        <v>66</v>
      </c>
      <c r="Q16" s="190" t="s">
        <v>67</v>
      </c>
      <c r="R16" s="190" t="s">
        <v>68</v>
      </c>
      <c r="S16" s="190" t="s">
        <v>69</v>
      </c>
      <c r="T16" s="190" t="s">
        <v>70</v>
      </c>
      <c r="U16" s="190" t="s">
        <v>71</v>
      </c>
      <c r="V16" s="190" t="s">
        <v>74</v>
      </c>
      <c r="W16" s="190" t="s">
        <v>88</v>
      </c>
      <c r="X16" s="196" t="s">
        <v>89</v>
      </c>
      <c r="Y16" s="197" t="s">
        <v>66</v>
      </c>
      <c r="Z16" s="190" t="s">
        <v>67</v>
      </c>
      <c r="AA16" s="190" t="s">
        <v>68</v>
      </c>
      <c r="AB16" s="190" t="s">
        <v>69</v>
      </c>
      <c r="AC16" s="190" t="s">
        <v>70</v>
      </c>
      <c r="AD16" s="190" t="s">
        <v>71</v>
      </c>
      <c r="AE16" s="190" t="s">
        <v>74</v>
      </c>
      <c r="AF16" s="190" t="s">
        <v>88</v>
      </c>
      <c r="AG16" s="196" t="s">
        <v>89</v>
      </c>
      <c r="AH16" s="197" t="s">
        <v>66</v>
      </c>
      <c r="AI16" s="190" t="s">
        <v>67</v>
      </c>
      <c r="AJ16" s="190" t="s">
        <v>68</v>
      </c>
      <c r="AK16" s="190" t="s">
        <v>69</v>
      </c>
      <c r="AL16" s="190" t="s">
        <v>70</v>
      </c>
      <c r="AM16" s="190" t="s">
        <v>71</v>
      </c>
      <c r="AN16" s="190" t="s">
        <v>75</v>
      </c>
      <c r="AO16" s="190" t="s">
        <v>88</v>
      </c>
      <c r="AP16" s="196" t="s">
        <v>89</v>
      </c>
      <c r="AQ16" s="125"/>
    </row>
    <row r="17" spans="1:43" ht="77.25" customHeight="1" x14ac:dyDescent="0.25">
      <c r="A17" s="254"/>
      <c r="B17" s="255"/>
      <c r="C17" s="286" t="s">
        <v>76</v>
      </c>
      <c r="D17" s="287" t="s">
        <v>19</v>
      </c>
      <c r="E17" s="202">
        <v>1</v>
      </c>
      <c r="F17" s="203">
        <f>$D$4*E17</f>
        <v>22679.6185</v>
      </c>
      <c r="G17" s="202">
        <f>'Release Days and Sites'!M10</f>
        <v>1</v>
      </c>
      <c r="H17" s="204">
        <f>'Release Days and Sites'!F10</f>
        <v>140</v>
      </c>
      <c r="I17" s="256"/>
      <c r="J17" s="207"/>
      <c r="K17" s="207">
        <f>'Releases_Exp. Scen. 5 and 10'!H6</f>
        <v>0.01</v>
      </c>
      <c r="L17" s="202"/>
      <c r="M17" s="207">
        <f>'Releases_Exp. Scen. 5 and 10'!H7</f>
        <v>1E-3</v>
      </c>
      <c r="N17" s="207">
        <f>'Releases_Exp. Scen. 5 and 10'!H8</f>
        <v>0.01</v>
      </c>
      <c r="O17" s="208">
        <f>'Releases_Exp. Scen. 5 and 10'!H9</f>
        <v>0.01</v>
      </c>
      <c r="P17" s="209" t="s">
        <v>77</v>
      </c>
      <c r="Q17" s="210" t="s">
        <v>77</v>
      </c>
      <c r="R17" s="210" t="s">
        <v>77</v>
      </c>
      <c r="S17" s="210" t="s">
        <v>77</v>
      </c>
      <c r="T17" s="317">
        <f>$F17/$G17*K17/$H17</f>
        <v>1.6199727500000001</v>
      </c>
      <c r="U17" s="210" t="s">
        <v>77</v>
      </c>
      <c r="V17" s="211">
        <f t="shared" ref="V17:X20" si="2">$F17/$G17*M17/$H17</f>
        <v>0.161997275</v>
      </c>
      <c r="W17" s="317">
        <f t="shared" si="2"/>
        <v>1.6199727500000001</v>
      </c>
      <c r="X17" s="318">
        <f t="shared" si="2"/>
        <v>1.6199727500000001</v>
      </c>
      <c r="Y17" s="209" t="s">
        <v>77</v>
      </c>
      <c r="Z17" s="210" t="s">
        <v>77</v>
      </c>
      <c r="AA17" s="210" t="s">
        <v>77</v>
      </c>
      <c r="AB17" s="210" t="s">
        <v>77</v>
      </c>
      <c r="AC17" s="214">
        <f>T17*$H17</f>
        <v>226.79618500000001</v>
      </c>
      <c r="AD17" s="210" t="s">
        <v>77</v>
      </c>
      <c r="AE17" s="214">
        <f t="shared" ref="AE17:AG20" si="3">V17*$H17</f>
        <v>22.6796185</v>
      </c>
      <c r="AF17" s="214">
        <f t="shared" si="3"/>
        <v>226.79618500000001</v>
      </c>
      <c r="AG17" s="204">
        <f t="shared" si="3"/>
        <v>226.79618500000001</v>
      </c>
      <c r="AH17" s="209" t="s">
        <v>77</v>
      </c>
      <c r="AI17" s="210" t="s">
        <v>77</v>
      </c>
      <c r="AJ17" s="210" t="s">
        <v>77</v>
      </c>
      <c r="AK17" s="210" t="s">
        <v>77</v>
      </c>
      <c r="AL17" s="214">
        <f>AC17*$G17</f>
        <v>226.79618500000001</v>
      </c>
      <c r="AM17" s="210" t="s">
        <v>77</v>
      </c>
      <c r="AN17" s="214">
        <f t="shared" ref="AN17:AP20" si="4">AE17*$G17</f>
        <v>22.6796185</v>
      </c>
      <c r="AO17" s="214">
        <f t="shared" si="4"/>
        <v>226.79618500000001</v>
      </c>
      <c r="AP17" s="204">
        <f t="shared" si="4"/>
        <v>226.79618500000001</v>
      </c>
      <c r="AQ17" s="125"/>
    </row>
    <row r="18" spans="1:43" ht="24.75" customHeight="1" x14ac:dyDescent="0.25">
      <c r="A18" s="254"/>
      <c r="B18" s="255"/>
      <c r="C18" s="286"/>
      <c r="D18" s="287"/>
      <c r="E18" s="202">
        <v>1</v>
      </c>
      <c r="F18" s="203">
        <f>$D$4*E18</f>
        <v>22679.6185</v>
      </c>
      <c r="G18" s="202">
        <f>'Release Days and Sites'!L10</f>
        <v>1</v>
      </c>
      <c r="H18" s="204">
        <f>'Release Days and Sites'!E10</f>
        <v>8</v>
      </c>
      <c r="I18" s="256"/>
      <c r="J18" s="207"/>
      <c r="K18" s="207">
        <f>'Releases_Exp. Scen. 5 and 10'!H6</f>
        <v>0.01</v>
      </c>
      <c r="L18" s="202"/>
      <c r="M18" s="207">
        <f>'Releases_Exp. Scen. 5 and 10'!H7</f>
        <v>1E-3</v>
      </c>
      <c r="N18" s="207">
        <f>'Releases_Exp. Scen. 5 and 10'!H8</f>
        <v>0.01</v>
      </c>
      <c r="O18" s="208">
        <f>'Releases_Exp. Scen. 5 and 10'!H9</f>
        <v>0.01</v>
      </c>
      <c r="P18" s="209" t="s">
        <v>77</v>
      </c>
      <c r="Q18" s="210" t="s">
        <v>77</v>
      </c>
      <c r="R18" s="210" t="s">
        <v>77</v>
      </c>
      <c r="S18" s="210" t="s">
        <v>77</v>
      </c>
      <c r="T18" s="317">
        <f>$F18/$G18*K18/$H18</f>
        <v>28.349523125000001</v>
      </c>
      <c r="U18" s="210" t="s">
        <v>77</v>
      </c>
      <c r="V18" s="211">
        <f t="shared" si="2"/>
        <v>2.8349523125</v>
      </c>
      <c r="W18" s="317">
        <f t="shared" si="2"/>
        <v>28.349523125000001</v>
      </c>
      <c r="X18" s="318">
        <f t="shared" si="2"/>
        <v>28.349523125000001</v>
      </c>
      <c r="Y18" s="209" t="s">
        <v>77</v>
      </c>
      <c r="Z18" s="210" t="s">
        <v>77</v>
      </c>
      <c r="AA18" s="210" t="s">
        <v>77</v>
      </c>
      <c r="AB18" s="210" t="s">
        <v>77</v>
      </c>
      <c r="AC18" s="214">
        <f>T18*$H18</f>
        <v>226.79618500000001</v>
      </c>
      <c r="AD18" s="210" t="s">
        <v>77</v>
      </c>
      <c r="AE18" s="214">
        <f t="shared" si="3"/>
        <v>22.6796185</v>
      </c>
      <c r="AF18" s="214">
        <f t="shared" si="3"/>
        <v>226.79618500000001</v>
      </c>
      <c r="AG18" s="204">
        <f t="shared" si="3"/>
        <v>226.79618500000001</v>
      </c>
      <c r="AH18" s="209" t="s">
        <v>77</v>
      </c>
      <c r="AI18" s="210" t="s">
        <v>77</v>
      </c>
      <c r="AJ18" s="210" t="s">
        <v>77</v>
      </c>
      <c r="AK18" s="210" t="s">
        <v>77</v>
      </c>
      <c r="AL18" s="214">
        <f>AC18*$G18</f>
        <v>226.79618500000001</v>
      </c>
      <c r="AM18" s="210" t="s">
        <v>77</v>
      </c>
      <c r="AN18" s="214">
        <f t="shared" si="4"/>
        <v>22.6796185</v>
      </c>
      <c r="AO18" s="214">
        <f t="shared" si="4"/>
        <v>226.79618500000001</v>
      </c>
      <c r="AP18" s="204">
        <f t="shared" si="4"/>
        <v>226.79618500000001</v>
      </c>
      <c r="AQ18" s="125"/>
    </row>
    <row r="19" spans="1:43" ht="52.5" customHeight="1" x14ac:dyDescent="0.25">
      <c r="A19" s="254"/>
      <c r="B19" s="255"/>
      <c r="C19" s="286" t="s">
        <v>78</v>
      </c>
      <c r="D19" s="287"/>
      <c r="E19" s="202">
        <v>1</v>
      </c>
      <c r="F19" s="203">
        <f>$D$4*E19</f>
        <v>22679.6185</v>
      </c>
      <c r="G19" s="202">
        <f>'Release Days and Sites'!M10</f>
        <v>1</v>
      </c>
      <c r="H19" s="204">
        <f>'Release Days and Sites'!F10</f>
        <v>140</v>
      </c>
      <c r="I19" s="256"/>
      <c r="J19" s="207"/>
      <c r="K19" s="207">
        <f>'Releases_Exp. Scen. 5 and 10'!I6</f>
        <v>0.01</v>
      </c>
      <c r="L19" s="202"/>
      <c r="M19" s="207">
        <f>'Releases_Exp. Scen. 5 and 10'!I7</f>
        <v>5.0000000000000001E-3</v>
      </c>
      <c r="N19" s="207">
        <f>'Releases_Exp. Scen. 5 and 10'!I8</f>
        <v>0.01</v>
      </c>
      <c r="O19" s="208">
        <f>'Releases_Exp. Scen. 5 and 10'!I9</f>
        <v>2.5000000000000001E-2</v>
      </c>
      <c r="P19" s="209" t="s">
        <v>77</v>
      </c>
      <c r="Q19" s="210" t="s">
        <v>77</v>
      </c>
      <c r="R19" s="210" t="s">
        <v>77</v>
      </c>
      <c r="S19" s="210" t="s">
        <v>77</v>
      </c>
      <c r="T19" s="317">
        <f>$F19/$G19*K19/$H19</f>
        <v>1.6199727500000001</v>
      </c>
      <c r="U19" s="210" t="s">
        <v>77</v>
      </c>
      <c r="V19" s="211">
        <f t="shared" si="2"/>
        <v>0.80998637500000004</v>
      </c>
      <c r="W19" s="317">
        <f t="shared" si="2"/>
        <v>1.6199727500000001</v>
      </c>
      <c r="X19" s="318">
        <f t="shared" si="2"/>
        <v>4.0499318750000004</v>
      </c>
      <c r="Y19" s="209" t="s">
        <v>77</v>
      </c>
      <c r="Z19" s="210" t="s">
        <v>77</v>
      </c>
      <c r="AA19" s="210" t="s">
        <v>77</v>
      </c>
      <c r="AB19" s="210" t="s">
        <v>77</v>
      </c>
      <c r="AC19" s="214">
        <f>T19*$H19</f>
        <v>226.79618500000001</v>
      </c>
      <c r="AD19" s="210" t="s">
        <v>77</v>
      </c>
      <c r="AE19" s="214">
        <f t="shared" si="3"/>
        <v>113.3980925</v>
      </c>
      <c r="AF19" s="214">
        <f t="shared" si="3"/>
        <v>226.79618500000001</v>
      </c>
      <c r="AG19" s="204">
        <f t="shared" si="3"/>
        <v>566.99046250000004</v>
      </c>
      <c r="AH19" s="209" t="s">
        <v>77</v>
      </c>
      <c r="AI19" s="210" t="s">
        <v>77</v>
      </c>
      <c r="AJ19" s="210" t="s">
        <v>77</v>
      </c>
      <c r="AK19" s="210" t="s">
        <v>77</v>
      </c>
      <c r="AL19" s="214">
        <f>AC19*$G19</f>
        <v>226.79618500000001</v>
      </c>
      <c r="AM19" s="210" t="s">
        <v>77</v>
      </c>
      <c r="AN19" s="214">
        <f t="shared" si="4"/>
        <v>113.3980925</v>
      </c>
      <c r="AO19" s="214">
        <f t="shared" si="4"/>
        <v>226.79618500000001</v>
      </c>
      <c r="AP19" s="204">
        <f t="shared" si="4"/>
        <v>566.99046250000004</v>
      </c>
      <c r="AQ19" s="125"/>
    </row>
    <row r="20" spans="1:43" ht="52.5" customHeight="1" thickBot="1" x14ac:dyDescent="0.3">
      <c r="A20" s="269"/>
      <c r="B20" s="270"/>
      <c r="C20" s="295"/>
      <c r="D20" s="296"/>
      <c r="E20" s="221">
        <v>1</v>
      </c>
      <c r="F20" s="222">
        <f>$D$4*E20</f>
        <v>22679.6185</v>
      </c>
      <c r="G20" s="221">
        <f>'Release Days and Sites'!L10</f>
        <v>1</v>
      </c>
      <c r="H20" s="223">
        <f>'Release Days and Sites'!E10</f>
        <v>8</v>
      </c>
      <c r="I20" s="271"/>
      <c r="J20" s="226"/>
      <c r="K20" s="226">
        <f>'Releases_Exp. Scen. 5 and 10'!I6</f>
        <v>0.01</v>
      </c>
      <c r="L20" s="221"/>
      <c r="M20" s="226">
        <f>'Releases_Exp. Scen. 5 and 10'!I7</f>
        <v>5.0000000000000001E-3</v>
      </c>
      <c r="N20" s="226">
        <f>'Releases_Exp. Scen. 5 and 10'!I8</f>
        <v>0.01</v>
      </c>
      <c r="O20" s="227">
        <f>'Releases_Exp. Scen. 5 and 10'!I9</f>
        <v>2.5000000000000001E-2</v>
      </c>
      <c r="P20" s="228" t="s">
        <v>77</v>
      </c>
      <c r="Q20" s="229" t="s">
        <v>77</v>
      </c>
      <c r="R20" s="229" t="s">
        <v>77</v>
      </c>
      <c r="S20" s="229" t="s">
        <v>77</v>
      </c>
      <c r="T20" s="319">
        <f>$F20/$G20*K20/$H20</f>
        <v>28.349523125000001</v>
      </c>
      <c r="U20" s="229" t="s">
        <v>77</v>
      </c>
      <c r="V20" s="230">
        <f t="shared" si="2"/>
        <v>14.174761562500001</v>
      </c>
      <c r="W20" s="319">
        <f t="shared" si="2"/>
        <v>28.349523125000001</v>
      </c>
      <c r="X20" s="320">
        <f t="shared" si="2"/>
        <v>70.873807812500004</v>
      </c>
      <c r="Y20" s="228" t="s">
        <v>77</v>
      </c>
      <c r="Z20" s="229" t="s">
        <v>77</v>
      </c>
      <c r="AA20" s="229" t="s">
        <v>77</v>
      </c>
      <c r="AB20" s="229" t="s">
        <v>77</v>
      </c>
      <c r="AC20" s="233">
        <f>T20*$H20</f>
        <v>226.79618500000001</v>
      </c>
      <c r="AD20" s="229" t="s">
        <v>77</v>
      </c>
      <c r="AE20" s="233">
        <f t="shared" si="3"/>
        <v>113.3980925</v>
      </c>
      <c r="AF20" s="233">
        <f t="shared" si="3"/>
        <v>226.79618500000001</v>
      </c>
      <c r="AG20" s="223">
        <f t="shared" si="3"/>
        <v>566.99046250000004</v>
      </c>
      <c r="AH20" s="228" t="s">
        <v>77</v>
      </c>
      <c r="AI20" s="229" t="s">
        <v>77</v>
      </c>
      <c r="AJ20" s="229" t="s">
        <v>77</v>
      </c>
      <c r="AK20" s="229" t="s">
        <v>77</v>
      </c>
      <c r="AL20" s="233">
        <f>AC20*$G20</f>
        <v>226.79618500000001</v>
      </c>
      <c r="AM20" s="229" t="s">
        <v>77</v>
      </c>
      <c r="AN20" s="233">
        <f t="shared" si="4"/>
        <v>113.3980925</v>
      </c>
      <c r="AO20" s="233">
        <f t="shared" si="4"/>
        <v>226.79618500000001</v>
      </c>
      <c r="AP20" s="223">
        <f t="shared" si="4"/>
        <v>566.99046250000004</v>
      </c>
      <c r="AQ20" s="125"/>
    </row>
  </sheetData>
  <sheetProtection algorithmName="SHA-512" hashValue="5EpK6Q5DYFoSbHNQg9r4TQnflMjA3luuL2UQQfXMDx797PD3ElZj8ds9hQFCDGoLoVE9Q8blYyhPV7h3gbHCIQ==" saltValue="eVe9clxabzW6TRJmGTbozA==" spinCount="100000" sheet="1" objects="1" scenarios="1"/>
  <mergeCells count="51">
    <mergeCell ref="A16:A20"/>
    <mergeCell ref="B16:B20"/>
    <mergeCell ref="C17:C18"/>
    <mergeCell ref="C19:C20"/>
    <mergeCell ref="D17:D20"/>
    <mergeCell ref="Y14:Z14"/>
    <mergeCell ref="AJ14:AK14"/>
    <mergeCell ref="P15:Q15"/>
    <mergeCell ref="R15:S15"/>
    <mergeCell ref="Y15:Z15"/>
    <mergeCell ref="AA15:AB15"/>
    <mergeCell ref="AH15:AI15"/>
    <mergeCell ref="AJ15:AK15"/>
    <mergeCell ref="AA14:AB14"/>
    <mergeCell ref="AH14:AI14"/>
    <mergeCell ref="R14:S14"/>
    <mergeCell ref="A12:A15"/>
    <mergeCell ref="B12:B15"/>
    <mergeCell ref="C12:C13"/>
    <mergeCell ref="P12:Q12"/>
    <mergeCell ref="C5:C6"/>
    <mergeCell ref="A7:A11"/>
    <mergeCell ref="B7:B11"/>
    <mergeCell ref="C8:C9"/>
    <mergeCell ref="C10:C11"/>
    <mergeCell ref="D8:D11"/>
    <mergeCell ref="C14:C15"/>
    <mergeCell ref="P14:Q14"/>
    <mergeCell ref="D12:D15"/>
    <mergeCell ref="P13:Q13"/>
    <mergeCell ref="B3:B4"/>
    <mergeCell ref="A5:B6"/>
    <mergeCell ref="D5:D6"/>
    <mergeCell ref="E5:H5"/>
    <mergeCell ref="I5:O5"/>
    <mergeCell ref="AJ12:AK12"/>
    <mergeCell ref="AA13:AB13"/>
    <mergeCell ref="AH13:AI13"/>
    <mergeCell ref="AJ13:AK13"/>
    <mergeCell ref="P4:X4"/>
    <mergeCell ref="Y4:AG4"/>
    <mergeCell ref="AH5:AP5"/>
    <mergeCell ref="R12:S12"/>
    <mergeCell ref="AH4:AP4"/>
    <mergeCell ref="P5:X5"/>
    <mergeCell ref="Y5:AG5"/>
    <mergeCell ref="AA12:AB12"/>
    <mergeCell ref="AH12:AI12"/>
    <mergeCell ref="Y12:Z12"/>
    <mergeCell ref="R13:S13"/>
    <mergeCell ref="Y13:Z13"/>
  </mergeCells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A42E96-D54E-4E84-BFCB-72782A35EF28}">
  <dimension ref="A1:R30"/>
  <sheetViews>
    <sheetView workbookViewId="0">
      <selection activeCell="B12" sqref="B12"/>
    </sheetView>
  </sheetViews>
  <sheetFormatPr defaultRowHeight="12.75" x14ac:dyDescent="0.2"/>
  <cols>
    <col min="1" max="1" width="19.7109375" style="446" customWidth="1"/>
    <col min="2" max="2" width="22.140625" style="447" customWidth="1"/>
    <col min="3" max="7" width="19.5703125" style="447" customWidth="1"/>
    <col min="8" max="8" width="23.140625" style="447" customWidth="1"/>
    <col min="9" max="9" width="36.7109375" style="447" customWidth="1"/>
    <col min="10" max="10" width="32" style="447" customWidth="1"/>
    <col min="11" max="11" width="44.7109375" style="447" customWidth="1"/>
    <col min="12" max="12" width="43.28515625" style="447" customWidth="1"/>
    <col min="13" max="13" width="32.42578125" style="447" customWidth="1"/>
    <col min="14" max="14" width="50.85546875" style="447" customWidth="1"/>
    <col min="15" max="15" width="40.85546875" style="447" customWidth="1"/>
    <col min="16" max="16" width="34.5703125" style="447" customWidth="1"/>
    <col min="17" max="18" width="38.7109375" style="447" customWidth="1"/>
    <col min="19" max="19" width="15.140625" style="446" customWidth="1"/>
    <col min="20" max="16384" width="9.140625" style="446"/>
  </cols>
  <sheetData>
    <row r="1" spans="1:15" x14ac:dyDescent="0.2">
      <c r="A1" s="446" t="s">
        <v>250</v>
      </c>
    </row>
    <row r="2" spans="1:15" x14ac:dyDescent="0.2">
      <c r="A2" s="446" t="s">
        <v>251</v>
      </c>
      <c r="B2" s="542">
        <v>50000</v>
      </c>
      <c r="C2" s="447" t="s">
        <v>45</v>
      </c>
    </row>
    <row r="3" spans="1:15" x14ac:dyDescent="0.2">
      <c r="B3" s="446"/>
      <c r="C3" s="446"/>
    </row>
    <row r="4" spans="1:15" x14ac:dyDescent="0.2">
      <c r="A4" s="449" t="s">
        <v>119</v>
      </c>
      <c r="C4" s="450"/>
      <c r="D4" s="450"/>
      <c r="E4" s="450"/>
      <c r="F4" s="450"/>
      <c r="G4" s="450"/>
      <c r="H4" s="450"/>
      <c r="I4" s="450"/>
      <c r="J4" s="450"/>
      <c r="K4" s="450"/>
    </row>
    <row r="5" spans="1:15" ht="15.75" customHeight="1" x14ac:dyDescent="0.2">
      <c r="A5" s="451" t="s">
        <v>120</v>
      </c>
      <c r="B5" s="451" t="s">
        <v>121</v>
      </c>
      <c r="C5" s="451" t="s">
        <v>122</v>
      </c>
      <c r="D5" s="451"/>
      <c r="E5" s="451"/>
      <c r="F5" s="451"/>
      <c r="G5" s="451" t="s">
        <v>123</v>
      </c>
      <c r="H5" s="451"/>
      <c r="I5" s="451"/>
      <c r="J5" s="451"/>
      <c r="K5" s="451" t="s">
        <v>124</v>
      </c>
      <c r="L5" s="451" t="s">
        <v>125</v>
      </c>
    </row>
    <row r="6" spans="1:15" ht="38.25" customHeight="1" x14ac:dyDescent="0.2">
      <c r="A6" s="451"/>
      <c r="B6" s="451"/>
      <c r="C6" s="451" t="s">
        <v>126</v>
      </c>
      <c r="D6" s="451" t="s">
        <v>127</v>
      </c>
      <c r="E6" s="451" t="s">
        <v>128</v>
      </c>
      <c r="F6" s="451"/>
      <c r="G6" s="451" t="s">
        <v>126</v>
      </c>
      <c r="H6" s="451" t="s">
        <v>127</v>
      </c>
      <c r="I6" s="451" t="s">
        <v>128</v>
      </c>
      <c r="J6" s="451"/>
      <c r="K6" s="451"/>
      <c r="L6" s="451"/>
    </row>
    <row r="7" spans="1:15" ht="25.5" x14ac:dyDescent="0.2">
      <c r="A7" s="451"/>
      <c r="B7" s="451"/>
      <c r="C7" s="451"/>
      <c r="D7" s="451"/>
      <c r="E7" s="452" t="s">
        <v>252</v>
      </c>
      <c r="F7" s="452" t="s">
        <v>253</v>
      </c>
      <c r="G7" s="451"/>
      <c r="H7" s="451"/>
      <c r="I7" s="452" t="s">
        <v>252</v>
      </c>
      <c r="J7" s="452" t="s">
        <v>253</v>
      </c>
      <c r="K7" s="451"/>
      <c r="L7" s="451"/>
    </row>
    <row r="8" spans="1:15" ht="66" customHeight="1" x14ac:dyDescent="0.2">
      <c r="A8" s="453" t="s">
        <v>131</v>
      </c>
      <c r="B8" s="453" t="s">
        <v>132</v>
      </c>
      <c r="C8" s="454">
        <f>'Release Calculations - 50k lbs'!AN8</f>
        <v>22.6796185</v>
      </c>
      <c r="D8" s="454">
        <f>'Release Calculations - 50k lbs'!AE8</f>
        <v>22.6796185</v>
      </c>
      <c r="E8" s="455">
        <f>'Release Calculations - 50k lbs'!V9</f>
        <v>1.5119745666666666</v>
      </c>
      <c r="F8" s="455">
        <f>'Release Calculations - 50k lbs'!V8</f>
        <v>0.15119745666666667</v>
      </c>
      <c r="G8" s="456">
        <f>'Release Calculations - 50k lbs'!AN10</f>
        <v>113.3980925</v>
      </c>
      <c r="H8" s="456">
        <f>'Release Calculations - 50k lbs'!AE10</f>
        <v>113.3980925</v>
      </c>
      <c r="I8" s="455">
        <f>'Release Calculations - 50k lbs'!V11</f>
        <v>7.5598728333333334</v>
      </c>
      <c r="J8" s="457">
        <f>'Release Calculations - 50k lbs'!V10</f>
        <v>0.75598728333333332</v>
      </c>
      <c r="K8" s="458">
        <f>'Release Calculations - 50k lbs'!G8</f>
        <v>1</v>
      </c>
      <c r="L8" s="459" t="s">
        <v>133</v>
      </c>
    </row>
    <row r="9" spans="1:15" ht="25.5" x14ac:dyDescent="0.2">
      <c r="A9" s="453" t="s">
        <v>134</v>
      </c>
      <c r="B9" s="459" t="s">
        <v>70</v>
      </c>
      <c r="C9" s="456">
        <f>'Release Calculations - 50k lbs'!AL8</f>
        <v>226.79618500000001</v>
      </c>
      <c r="D9" s="456">
        <f>'Release Calculations - 50k lbs'!AC8</f>
        <v>226.79618500000001</v>
      </c>
      <c r="E9" s="455">
        <f>'Release Calculations - 50k lbs'!T9</f>
        <v>15.119745666666667</v>
      </c>
      <c r="F9" s="455">
        <f>'Release Calculations - 50k lbs'!T8</f>
        <v>1.5119745666666666</v>
      </c>
      <c r="G9" s="456">
        <f>'Release Calculations - 50k lbs'!AL10</f>
        <v>226.79618500000001</v>
      </c>
      <c r="H9" s="456">
        <f>'Release Calculations - 50k lbs'!AC10</f>
        <v>226.79618500000001</v>
      </c>
      <c r="I9" s="455">
        <f>'Release Calculations - 50k lbs'!T11</f>
        <v>15.119745666666667</v>
      </c>
      <c r="J9" s="461">
        <f>'Release Calculations - 50k lbs'!T10</f>
        <v>1.5119745666666666</v>
      </c>
      <c r="K9" s="462">
        <f>'Release Calculations - 50k lbs'!G8</f>
        <v>1</v>
      </c>
      <c r="L9" s="459" t="s">
        <v>133</v>
      </c>
    </row>
    <row r="10" spans="1:15" x14ac:dyDescent="0.2">
      <c r="A10" s="463" t="s">
        <v>135</v>
      </c>
      <c r="B10" s="463"/>
      <c r="C10" s="463"/>
      <c r="D10" s="463"/>
      <c r="E10" s="463"/>
      <c r="F10" s="463"/>
      <c r="G10" s="463"/>
      <c r="H10" s="463"/>
      <c r="I10" s="463"/>
      <c r="J10" s="463"/>
      <c r="K10" s="463"/>
      <c r="L10" s="463"/>
    </row>
    <row r="11" spans="1:15" x14ac:dyDescent="0.2">
      <c r="B11" s="446"/>
    </row>
    <row r="12" spans="1:15" s="125" customFormat="1" ht="15" x14ac:dyDescent="0.25"/>
    <row r="13" spans="1:15" x14ac:dyDescent="0.2">
      <c r="A13" s="449" t="s">
        <v>144</v>
      </c>
      <c r="C13" s="450"/>
      <c r="D13" s="450"/>
      <c r="E13" s="450"/>
      <c r="F13" s="450"/>
      <c r="G13" s="450"/>
      <c r="H13" s="450"/>
      <c r="I13" s="450"/>
      <c r="J13" s="450"/>
      <c r="K13" s="450"/>
    </row>
    <row r="14" spans="1:15" ht="12.75" customHeight="1" x14ac:dyDescent="0.2">
      <c r="A14" s="451" t="s">
        <v>120</v>
      </c>
      <c r="B14" s="451" t="s">
        <v>121</v>
      </c>
      <c r="C14" s="451" t="s">
        <v>137</v>
      </c>
      <c r="D14" s="451"/>
      <c r="E14" s="451"/>
      <c r="F14" s="451"/>
      <c r="G14" s="451" t="s">
        <v>145</v>
      </c>
      <c r="H14" s="451"/>
      <c r="I14" s="451"/>
      <c r="J14" s="451"/>
      <c r="K14" s="464" t="s">
        <v>124</v>
      </c>
      <c r="L14" s="451" t="s">
        <v>125</v>
      </c>
    </row>
    <row r="15" spans="1:15" x14ac:dyDescent="0.2">
      <c r="A15" s="451"/>
      <c r="B15" s="451"/>
      <c r="C15" s="451" t="s">
        <v>126</v>
      </c>
      <c r="D15" s="451" t="s">
        <v>127</v>
      </c>
      <c r="E15" s="451" t="s">
        <v>128</v>
      </c>
      <c r="F15" s="451"/>
      <c r="G15" s="472" t="s">
        <v>126</v>
      </c>
      <c r="H15" s="472" t="s">
        <v>127</v>
      </c>
      <c r="I15" s="472" t="s">
        <v>128</v>
      </c>
      <c r="J15" s="472"/>
      <c r="K15" s="465"/>
      <c r="L15" s="451"/>
      <c r="O15" s="466"/>
    </row>
    <row r="16" spans="1:15" ht="51" x14ac:dyDescent="0.2">
      <c r="A16" s="451"/>
      <c r="B16" s="451"/>
      <c r="C16" s="451"/>
      <c r="D16" s="451"/>
      <c r="E16" s="452" t="s">
        <v>146</v>
      </c>
      <c r="F16" s="452" t="s">
        <v>147</v>
      </c>
      <c r="G16" s="472"/>
      <c r="H16" s="472"/>
      <c r="I16" s="452" t="s">
        <v>146</v>
      </c>
      <c r="J16" s="452" t="s">
        <v>147</v>
      </c>
      <c r="K16" s="467"/>
      <c r="L16" s="451"/>
      <c r="O16" s="466"/>
    </row>
    <row r="17" spans="1:15" ht="63.75" x14ac:dyDescent="0.2">
      <c r="A17" s="468" t="s">
        <v>141</v>
      </c>
      <c r="B17" s="453" t="s">
        <v>142</v>
      </c>
      <c r="C17" s="455">
        <f>'Release Calculations - 50k lbs'!AH12</f>
        <v>1.3125158912169681</v>
      </c>
      <c r="D17" s="455">
        <f>'Release Calculations - 50k lbs'!Y12</f>
        <v>1.3125158912169681</v>
      </c>
      <c r="E17" s="473">
        <f>'Release Calculations - 50k lbs'!P13</f>
        <v>1.3125158912169681</v>
      </c>
      <c r="F17" s="457">
        <f>'Release Calculations - 50k lbs'!P12</f>
        <v>8.2032243201060506E-2</v>
      </c>
      <c r="G17" s="455">
        <f>'Release Calculations - 50k lbs'!AH14</f>
        <v>1.3145654244312563</v>
      </c>
      <c r="H17" s="455">
        <f>'Release Calculations - 50k lbs'!Y14</f>
        <v>1.3145654244312563</v>
      </c>
      <c r="I17" s="473">
        <f>'Release Calculations - 50k lbs'!P15</f>
        <v>1.3145654244312563</v>
      </c>
      <c r="J17" s="457">
        <f>'Release Calculations - 50k lbs'!P14</f>
        <v>8.2160339026953522E-2</v>
      </c>
      <c r="K17" s="458">
        <f>'Release Calculations - 50k lbs'!G12</f>
        <v>1</v>
      </c>
      <c r="L17" s="459" t="s">
        <v>133</v>
      </c>
      <c r="O17" s="470"/>
    </row>
    <row r="18" spans="1:15" ht="63.75" x14ac:dyDescent="0.2">
      <c r="A18" s="468" t="s">
        <v>141</v>
      </c>
      <c r="B18" s="453" t="s">
        <v>143</v>
      </c>
      <c r="C18" s="457">
        <f>'Release Calculations - 50k lbs'!AJ12</f>
        <v>0.24288325792767734</v>
      </c>
      <c r="D18" s="457">
        <f>'Release Calculations - 50k lbs'!AA12</f>
        <v>0.24288325792767734</v>
      </c>
      <c r="E18" s="471">
        <f>'Release Calculations - 50k lbs'!R13</f>
        <v>0.24288325792767734</v>
      </c>
      <c r="F18" s="469">
        <f>'Release Calculations - 50k lbs'!R12</f>
        <v>1.619221719517849E-2</v>
      </c>
      <c r="G18" s="455">
        <f>'Release Calculations - 50k lbs'!AJ14</f>
        <v>0.59671399812067272</v>
      </c>
      <c r="H18" s="455">
        <f>'Release Calculations - 50k lbs'!AA14</f>
        <v>0.59671399812067272</v>
      </c>
      <c r="I18" s="473">
        <f>'Release Calculations - 50k lbs'!R15</f>
        <v>0.59671399812067272</v>
      </c>
      <c r="J18" s="457">
        <f>'Release Calculations - 50k lbs'!R14</f>
        <v>3.978093320804485E-2</v>
      </c>
      <c r="K18" s="458">
        <f>'Release Calculations - 50k lbs'!G14</f>
        <v>1</v>
      </c>
      <c r="L18" s="459" t="s">
        <v>133</v>
      </c>
      <c r="O18" s="470"/>
    </row>
    <row r="19" spans="1:15" x14ac:dyDescent="0.2">
      <c r="A19" s="474" t="s">
        <v>135</v>
      </c>
      <c r="B19" s="474"/>
      <c r="C19" s="474"/>
      <c r="D19" s="474"/>
      <c r="E19" s="474"/>
      <c r="F19" s="474"/>
      <c r="G19" s="474"/>
      <c r="H19" s="474"/>
      <c r="I19" s="474"/>
      <c r="J19" s="474"/>
      <c r="K19" s="474"/>
      <c r="L19" s="474"/>
    </row>
    <row r="22" spans="1:15" x14ac:dyDescent="0.2">
      <c r="A22" s="449" t="s">
        <v>165</v>
      </c>
      <c r="C22" s="450"/>
      <c r="D22" s="450"/>
      <c r="E22" s="450"/>
      <c r="F22" s="450"/>
      <c r="G22" s="450"/>
      <c r="H22" s="450"/>
      <c r="I22" s="450"/>
      <c r="J22" s="450"/>
      <c r="K22" s="450"/>
    </row>
    <row r="23" spans="1:15" ht="15" customHeight="1" x14ac:dyDescent="0.2">
      <c r="A23" s="464" t="s">
        <v>120</v>
      </c>
      <c r="B23" s="451" t="s">
        <v>121</v>
      </c>
      <c r="C23" s="451" t="s">
        <v>122</v>
      </c>
      <c r="D23" s="451"/>
      <c r="E23" s="451"/>
      <c r="F23" s="451"/>
      <c r="G23" s="451" t="s">
        <v>123</v>
      </c>
      <c r="H23" s="451"/>
      <c r="I23" s="451"/>
      <c r="J23" s="451"/>
      <c r="K23" s="464" t="s">
        <v>124</v>
      </c>
      <c r="L23" s="451" t="s">
        <v>125</v>
      </c>
    </row>
    <row r="24" spans="1:15" ht="38.25" customHeight="1" x14ac:dyDescent="0.2">
      <c r="A24" s="465"/>
      <c r="B24" s="451"/>
      <c r="C24" s="451" t="s">
        <v>126</v>
      </c>
      <c r="D24" s="451" t="s">
        <v>127</v>
      </c>
      <c r="E24" s="451" t="s">
        <v>128</v>
      </c>
      <c r="F24" s="451"/>
      <c r="G24" s="451" t="s">
        <v>126</v>
      </c>
      <c r="H24" s="451" t="s">
        <v>127</v>
      </c>
      <c r="I24" s="451" t="s">
        <v>128</v>
      </c>
      <c r="J24" s="451"/>
      <c r="K24" s="465"/>
      <c r="L24" s="451"/>
      <c r="N24" s="475"/>
    </row>
    <row r="25" spans="1:15" ht="25.5" x14ac:dyDescent="0.2">
      <c r="A25" s="467"/>
      <c r="B25" s="451"/>
      <c r="C25" s="451"/>
      <c r="D25" s="451"/>
      <c r="E25" s="452" t="s">
        <v>254</v>
      </c>
      <c r="F25" s="452" t="s">
        <v>167</v>
      </c>
      <c r="G25" s="451"/>
      <c r="H25" s="451"/>
      <c r="I25" s="452" t="s">
        <v>254</v>
      </c>
      <c r="J25" s="452" t="s">
        <v>167</v>
      </c>
      <c r="K25" s="467"/>
      <c r="L25" s="451"/>
      <c r="N25" s="475"/>
    </row>
    <row r="26" spans="1:15" ht="63.75" x14ac:dyDescent="0.2">
      <c r="A26" s="495" t="s">
        <v>168</v>
      </c>
      <c r="B26" s="453" t="s">
        <v>169</v>
      </c>
      <c r="C26" s="454">
        <f>'Release Calculations - 50k lbs'!AN17</f>
        <v>22.6796185</v>
      </c>
      <c r="D26" s="454">
        <f>'Release Calculations - 50k lbs'!AE17</f>
        <v>22.6796185</v>
      </c>
      <c r="E26" s="455">
        <f>'Release Calculations - 50k lbs'!V18</f>
        <v>2.8349523125</v>
      </c>
      <c r="F26" s="457">
        <f>'Release Calculations - 50k lbs'!V17</f>
        <v>0.161997275</v>
      </c>
      <c r="G26" s="456">
        <f>'Release Calculations - 50k lbs'!AN19</f>
        <v>113.3980925</v>
      </c>
      <c r="H26" s="456">
        <f>'Release Calculations - 50k lbs'!AE19</f>
        <v>113.3980925</v>
      </c>
      <c r="I26" s="455">
        <f>'Release Calculations - 50k lbs'!V20</f>
        <v>14.174761562500001</v>
      </c>
      <c r="J26" s="455">
        <f>'Release Calculations - 50k lbs'!V19</f>
        <v>0.80998637500000004</v>
      </c>
      <c r="K26" s="458">
        <f>'Release Calculations - 50k lbs'!G17</f>
        <v>1</v>
      </c>
      <c r="L26" s="459" t="s">
        <v>133</v>
      </c>
      <c r="N26" s="481"/>
    </row>
    <row r="27" spans="1:15" ht="51" x14ac:dyDescent="0.2">
      <c r="A27" s="495" t="s">
        <v>170</v>
      </c>
      <c r="B27" s="453" t="s">
        <v>171</v>
      </c>
      <c r="C27" s="456">
        <f>'Release Calculations - 50k lbs'!AO17</f>
        <v>226.79618500000001</v>
      </c>
      <c r="D27" s="456">
        <f>'Release Calculations - 50k lbs'!AF17</f>
        <v>226.79618500000001</v>
      </c>
      <c r="E27" s="454">
        <f>'Release Calculations - 50k lbs'!W18</f>
        <v>28.349523125000001</v>
      </c>
      <c r="F27" s="455">
        <f>'Release Calculations - 50k lbs'!W17</f>
        <v>1.6199727500000001</v>
      </c>
      <c r="G27" s="456">
        <f>'Release Calculations - 50k lbs'!AO19</f>
        <v>226.79618500000001</v>
      </c>
      <c r="H27" s="456">
        <f>'Release Calculations - 50k lbs'!AF19</f>
        <v>226.79618500000001</v>
      </c>
      <c r="I27" s="454">
        <f>'Release Calculations - 50k lbs'!W20</f>
        <v>28.349523125000001</v>
      </c>
      <c r="J27" s="455">
        <f>'Release Calculations - 50k lbs'!W19</f>
        <v>1.6199727500000001</v>
      </c>
      <c r="K27" s="458">
        <f>'Release Calculations - 50k lbs'!G17</f>
        <v>1</v>
      </c>
      <c r="L27" s="459" t="s">
        <v>133</v>
      </c>
      <c r="N27" s="481"/>
    </row>
    <row r="28" spans="1:15" ht="25.5" x14ac:dyDescent="0.2">
      <c r="A28" s="495" t="s">
        <v>172</v>
      </c>
      <c r="B28" s="459" t="s">
        <v>70</v>
      </c>
      <c r="C28" s="496">
        <f>'Release Calculations - 50k lbs'!AL17</f>
        <v>226.79618500000001</v>
      </c>
      <c r="D28" s="496">
        <f>'Release Calculations - 50k lbs'!AC17</f>
        <v>226.79618500000001</v>
      </c>
      <c r="E28" s="454">
        <f>'Release Calculations - 50k lbs'!T18</f>
        <v>28.349523125000001</v>
      </c>
      <c r="F28" s="455">
        <f>'Release Calculations - 50k lbs'!T17</f>
        <v>1.6199727500000001</v>
      </c>
      <c r="G28" s="496">
        <f>'Release Calculations - 50k lbs'!AL19</f>
        <v>226.79618500000001</v>
      </c>
      <c r="H28" s="496">
        <f>'Release Calculations - 50k lbs'!AC19</f>
        <v>226.79618500000001</v>
      </c>
      <c r="I28" s="454">
        <f>'Release Calculations - 50k lbs'!T20</f>
        <v>28.349523125000001</v>
      </c>
      <c r="J28" s="455">
        <f>'Release Calculations - 50k lbs'!T19</f>
        <v>1.6199727500000001</v>
      </c>
      <c r="K28" s="458">
        <f>'Release Calculations - 50k lbs'!G17</f>
        <v>1</v>
      </c>
      <c r="L28" s="459" t="s">
        <v>133</v>
      </c>
      <c r="N28" s="481"/>
    </row>
    <row r="29" spans="1:15" ht="25.5" x14ac:dyDescent="0.2">
      <c r="A29" s="495" t="s">
        <v>173</v>
      </c>
      <c r="B29" s="453" t="s">
        <v>174</v>
      </c>
      <c r="C29" s="456">
        <f>'Release Calculations - 50k lbs'!AP17</f>
        <v>226.79618500000001</v>
      </c>
      <c r="D29" s="456">
        <f>'Release Calculations - 50k lbs'!AG17</f>
        <v>226.79618500000001</v>
      </c>
      <c r="E29" s="455">
        <f>'Release Calculations - 50k lbs'!X18</f>
        <v>28.349523125000001</v>
      </c>
      <c r="F29" s="455">
        <f>'Release Calculations - 50k lbs'!X17</f>
        <v>1.6199727500000001</v>
      </c>
      <c r="G29" s="456">
        <f>'Release Calculations - 50k lbs'!AP19</f>
        <v>566.99046250000004</v>
      </c>
      <c r="H29" s="456">
        <f>'Release Calculations - 50k lbs'!AG19</f>
        <v>566.99046250000004</v>
      </c>
      <c r="I29" s="455">
        <f>'Release Calculations - 50k lbs'!X20</f>
        <v>70.873807812500004</v>
      </c>
      <c r="J29" s="455">
        <f>'Release Calculations - 50k lbs'!X19</f>
        <v>4.0499318750000004</v>
      </c>
      <c r="K29" s="458">
        <f>'Release Calculations - 50k lbs'!G17</f>
        <v>1</v>
      </c>
      <c r="L29" s="459" t="s">
        <v>133</v>
      </c>
      <c r="N29" s="481"/>
    </row>
    <row r="30" spans="1:15" x14ac:dyDescent="0.2">
      <c r="A30" s="463" t="s">
        <v>135</v>
      </c>
      <c r="B30" s="463"/>
      <c r="C30" s="463"/>
      <c r="D30" s="463"/>
      <c r="E30" s="463"/>
      <c r="F30" s="463"/>
      <c r="G30" s="463"/>
      <c r="H30" s="463"/>
      <c r="I30" s="463"/>
      <c r="J30" s="463"/>
      <c r="K30" s="463"/>
      <c r="L30" s="463"/>
    </row>
  </sheetData>
  <sheetProtection algorithmName="SHA-512" hashValue="UXGJhtzscoXxIWH0NZc3gJT2linoWu9hE4iW/3hz7cRnk12TmT2vOlrLsbmxSrAUGmNNIxV8tRzBGEgXn7TGsw==" saltValue="YPpib3x1C+LIHoBSDMCrhQ==" spinCount="100000" sheet="1" objects="1" scenarios="1"/>
  <mergeCells count="41">
    <mergeCell ref="N24:N25"/>
    <mergeCell ref="A30:L30"/>
    <mergeCell ref="L23:L25"/>
    <mergeCell ref="C24:C25"/>
    <mergeCell ref="D24:D25"/>
    <mergeCell ref="E24:F24"/>
    <mergeCell ref="G24:G25"/>
    <mergeCell ref="H24:H25"/>
    <mergeCell ref="I24:J24"/>
    <mergeCell ref="K23:K25"/>
    <mergeCell ref="A23:A25"/>
    <mergeCell ref="B23:B25"/>
    <mergeCell ref="C23:F23"/>
    <mergeCell ref="G23:J23"/>
    <mergeCell ref="A19:L19"/>
    <mergeCell ref="O17:O18"/>
    <mergeCell ref="C14:F14"/>
    <mergeCell ref="G14:J14"/>
    <mergeCell ref="K14:K16"/>
    <mergeCell ref="L14:L16"/>
    <mergeCell ref="C15:C16"/>
    <mergeCell ref="D15:D16"/>
    <mergeCell ref="E15:F15"/>
    <mergeCell ref="G15:G16"/>
    <mergeCell ref="H15:H16"/>
    <mergeCell ref="I15:J15"/>
    <mergeCell ref="A14:A16"/>
    <mergeCell ref="B14:B16"/>
    <mergeCell ref="A10:L10"/>
    <mergeCell ref="A5:A7"/>
    <mergeCell ref="B5:B7"/>
    <mergeCell ref="C5:F5"/>
    <mergeCell ref="G5:J5"/>
    <mergeCell ref="K5:K7"/>
    <mergeCell ref="L5:L7"/>
    <mergeCell ref="C6:C7"/>
    <mergeCell ref="D6:D7"/>
    <mergeCell ref="E6:F6"/>
    <mergeCell ref="G6:G7"/>
    <mergeCell ref="H6:H7"/>
    <mergeCell ref="I6:J6"/>
  </mergeCells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F08A48-85AD-4616-8A21-BEE5D7EB82E4}">
  <dimension ref="A1:AQ20"/>
  <sheetViews>
    <sheetView zoomScale="90" zoomScaleNormal="90" workbookViewId="0">
      <pane xSplit="2" ySplit="6" topLeftCell="D7" activePane="bottomRight" state="frozen"/>
      <selection pane="topRight" activeCell="B4" sqref="B4"/>
      <selection pane="bottomLeft" activeCell="B4" sqref="B4"/>
      <selection pane="bottomRight" sqref="A1:XFD1048576"/>
    </sheetView>
  </sheetViews>
  <sheetFormatPr defaultRowHeight="15" x14ac:dyDescent="0.25"/>
  <cols>
    <col min="1" max="1" width="9.140625" style="125"/>
    <col min="2" max="2" width="35.42578125" style="136" customWidth="1"/>
    <col min="3" max="4" width="36.28515625" style="125" customWidth="1"/>
    <col min="5" max="5" width="30.28515625" style="125" customWidth="1"/>
    <col min="6" max="6" width="14.140625" style="138" customWidth="1"/>
    <col min="7" max="7" width="16.140625" style="125" bestFit="1" customWidth="1"/>
    <col min="8" max="8" width="19.7109375" style="125" customWidth="1"/>
    <col min="9" max="9" width="20.5703125" style="139" customWidth="1"/>
    <col min="10" max="10" width="16.5703125" style="139" customWidth="1"/>
    <col min="11" max="15" width="16.5703125" style="125" customWidth="1"/>
    <col min="16" max="16" width="27.42578125" style="140" customWidth="1"/>
    <col min="17" max="17" width="27.42578125" style="125" customWidth="1"/>
    <col min="18" max="19" width="14.42578125" style="125" customWidth="1"/>
    <col min="20" max="20" width="20.7109375" style="125" customWidth="1"/>
    <col min="21" max="21" width="16.7109375" style="125" bestFit="1" customWidth="1"/>
    <col min="22" max="24" width="32.42578125" style="125" customWidth="1"/>
    <col min="25" max="25" width="25.28515625" style="140" customWidth="1"/>
    <col min="26" max="26" width="25.28515625" style="125" customWidth="1"/>
    <col min="27" max="27" width="11.140625" style="125" bestFit="1" customWidth="1"/>
    <col min="28" max="28" width="13.7109375" style="125" bestFit="1" customWidth="1"/>
    <col min="29" max="29" width="14.5703125" style="125" customWidth="1"/>
    <col min="30" max="30" width="16.7109375" style="125" bestFit="1" customWidth="1"/>
    <col min="31" max="33" width="31.5703125" style="125" customWidth="1"/>
    <col min="34" max="34" width="16" style="140" customWidth="1"/>
    <col min="35" max="35" width="16" style="125" customWidth="1"/>
    <col min="36" max="37" width="14.140625" style="125" customWidth="1"/>
    <col min="38" max="38" width="17" style="125" customWidth="1"/>
    <col min="39" max="39" width="16.7109375" style="125" bestFit="1" customWidth="1"/>
    <col min="40" max="42" width="30.7109375" style="125" customWidth="1"/>
    <col min="43" max="43" width="9.140625" style="140"/>
    <col min="44" max="16384" width="9.140625" style="125"/>
  </cols>
  <sheetData>
    <row r="1" spans="1:43" x14ac:dyDescent="0.25">
      <c r="A1" s="136" t="s">
        <v>255</v>
      </c>
      <c r="Y1" s="125"/>
    </row>
    <row r="2" spans="1:43" ht="15.75" thickBot="1" x14ac:dyDescent="0.3">
      <c r="A2" s="141"/>
      <c r="P2" s="142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</row>
    <row r="3" spans="1:43" ht="15.75" thickBot="1" x14ac:dyDescent="0.3">
      <c r="B3" s="144" t="s">
        <v>44</v>
      </c>
      <c r="C3" s="145" t="s">
        <v>45</v>
      </c>
      <c r="D3" s="146" t="s">
        <v>46</v>
      </c>
      <c r="G3" s="147"/>
      <c r="P3" s="148"/>
      <c r="Q3" s="149"/>
      <c r="R3" s="150"/>
      <c r="S3" s="150"/>
      <c r="Y3" s="149"/>
      <c r="Z3" s="149"/>
      <c r="AA3" s="150"/>
      <c r="AB3" s="150"/>
      <c r="AH3" s="149"/>
      <c r="AI3" s="149"/>
      <c r="AJ3" s="150"/>
      <c r="AK3" s="150"/>
    </row>
    <row r="4" spans="1:43" ht="15.75" thickBot="1" x14ac:dyDescent="0.3">
      <c r="B4" s="151"/>
      <c r="C4" s="152">
        <v>25000</v>
      </c>
      <c r="D4" s="153">
        <f>CONVERT(C4,"lbm","g")/1000</f>
        <v>11339.80925</v>
      </c>
      <c r="P4" s="533" t="s">
        <v>47</v>
      </c>
      <c r="Q4" s="534"/>
      <c r="R4" s="534"/>
      <c r="S4" s="534"/>
      <c r="T4" s="534"/>
      <c r="U4" s="534"/>
      <c r="V4" s="534"/>
      <c r="W4" s="534"/>
      <c r="X4" s="535"/>
      <c r="Y4" s="533" t="s">
        <v>48</v>
      </c>
      <c r="Z4" s="534"/>
      <c r="AA4" s="534"/>
      <c r="AB4" s="534"/>
      <c r="AC4" s="534"/>
      <c r="AD4" s="534"/>
      <c r="AE4" s="534"/>
      <c r="AF4" s="534"/>
      <c r="AG4" s="535"/>
      <c r="AH4" s="533" t="s">
        <v>49</v>
      </c>
      <c r="AI4" s="534"/>
      <c r="AJ4" s="534"/>
      <c r="AK4" s="534"/>
      <c r="AL4" s="534"/>
      <c r="AM4" s="534"/>
      <c r="AN4" s="534"/>
      <c r="AO4" s="534"/>
      <c r="AP4" s="535"/>
      <c r="AQ4" s="157"/>
    </row>
    <row r="5" spans="1:43" ht="15" customHeight="1" x14ac:dyDescent="0.25">
      <c r="A5" s="158" t="s">
        <v>27</v>
      </c>
      <c r="B5" s="159"/>
      <c r="C5" s="538" t="s">
        <v>50</v>
      </c>
      <c r="D5" s="161" t="s">
        <v>51</v>
      </c>
      <c r="E5" s="162" t="s">
        <v>52</v>
      </c>
      <c r="F5" s="162"/>
      <c r="G5" s="162"/>
      <c r="H5" s="163"/>
      <c r="I5" s="164" t="s">
        <v>53</v>
      </c>
      <c r="J5" s="165"/>
      <c r="K5" s="165"/>
      <c r="L5" s="165"/>
      <c r="M5" s="165"/>
      <c r="N5" s="165"/>
      <c r="O5" s="166"/>
      <c r="P5" s="167" t="s">
        <v>54</v>
      </c>
      <c r="Q5" s="168"/>
      <c r="R5" s="168"/>
      <c r="S5" s="168"/>
      <c r="T5" s="168"/>
      <c r="U5" s="168"/>
      <c r="V5" s="168"/>
      <c r="W5" s="168"/>
      <c r="X5" s="169"/>
      <c r="Y5" s="167" t="s">
        <v>55</v>
      </c>
      <c r="Z5" s="168"/>
      <c r="AA5" s="168"/>
      <c r="AB5" s="168"/>
      <c r="AC5" s="168"/>
      <c r="AD5" s="168"/>
      <c r="AE5" s="168"/>
      <c r="AF5" s="168"/>
      <c r="AG5" s="169"/>
      <c r="AH5" s="167" t="s">
        <v>56</v>
      </c>
      <c r="AI5" s="168"/>
      <c r="AJ5" s="168"/>
      <c r="AK5" s="168"/>
      <c r="AL5" s="168"/>
      <c r="AM5" s="168"/>
      <c r="AN5" s="168"/>
      <c r="AO5" s="168"/>
      <c r="AP5" s="169"/>
      <c r="AQ5" s="157"/>
    </row>
    <row r="6" spans="1:43" s="183" customFormat="1" ht="29.25" thickBot="1" x14ac:dyDescent="0.25">
      <c r="A6" s="170"/>
      <c r="B6" s="171"/>
      <c r="C6" s="541"/>
      <c r="D6" s="173"/>
      <c r="E6" s="174" t="s">
        <v>57</v>
      </c>
      <c r="F6" s="175" t="s">
        <v>58</v>
      </c>
      <c r="G6" s="176" t="s">
        <v>59</v>
      </c>
      <c r="H6" s="177" t="s">
        <v>60</v>
      </c>
      <c r="I6" s="178" t="s">
        <v>61</v>
      </c>
      <c r="J6" s="179" t="s">
        <v>62</v>
      </c>
      <c r="K6" s="176" t="s">
        <v>63</v>
      </c>
      <c r="L6" s="176" t="s">
        <v>64</v>
      </c>
      <c r="M6" s="180" t="s">
        <v>65</v>
      </c>
      <c r="N6" s="180" t="s">
        <v>65</v>
      </c>
      <c r="O6" s="181" t="s">
        <v>65</v>
      </c>
      <c r="P6" s="182" t="s">
        <v>66</v>
      </c>
      <c r="Q6" s="176" t="s">
        <v>67</v>
      </c>
      <c r="R6" s="176" t="s">
        <v>68</v>
      </c>
      <c r="S6" s="176" t="s">
        <v>69</v>
      </c>
      <c r="T6" s="176" t="s">
        <v>70</v>
      </c>
      <c r="U6" s="176" t="s">
        <v>71</v>
      </c>
      <c r="V6" s="176" t="s">
        <v>72</v>
      </c>
      <c r="W6" s="176" t="s">
        <v>72</v>
      </c>
      <c r="X6" s="177" t="s">
        <v>72</v>
      </c>
      <c r="Y6" s="182" t="s">
        <v>66</v>
      </c>
      <c r="Z6" s="176" t="s">
        <v>67</v>
      </c>
      <c r="AA6" s="176" t="s">
        <v>68</v>
      </c>
      <c r="AB6" s="176" t="s">
        <v>69</v>
      </c>
      <c r="AC6" s="176" t="s">
        <v>70</v>
      </c>
      <c r="AD6" s="176" t="s">
        <v>71</v>
      </c>
      <c r="AE6" s="176" t="s">
        <v>72</v>
      </c>
      <c r="AF6" s="176" t="s">
        <v>72</v>
      </c>
      <c r="AG6" s="177" t="s">
        <v>72</v>
      </c>
      <c r="AH6" s="182" t="s">
        <v>66</v>
      </c>
      <c r="AI6" s="176" t="s">
        <v>67</v>
      </c>
      <c r="AJ6" s="176" t="s">
        <v>68</v>
      </c>
      <c r="AK6" s="176" t="s">
        <v>69</v>
      </c>
      <c r="AL6" s="176" t="s">
        <v>70</v>
      </c>
      <c r="AM6" s="176" t="s">
        <v>71</v>
      </c>
      <c r="AN6" s="176" t="s">
        <v>72</v>
      </c>
      <c r="AO6" s="176" t="s">
        <v>72</v>
      </c>
      <c r="AP6" s="177" t="s">
        <v>72</v>
      </c>
    </row>
    <row r="7" spans="1:43" s="150" customFormat="1" ht="42.75" x14ac:dyDescent="0.2">
      <c r="A7" s="234">
        <v>1</v>
      </c>
      <c r="B7" s="235" t="s">
        <v>30</v>
      </c>
      <c r="C7" s="186" t="s">
        <v>50</v>
      </c>
      <c r="D7" s="187" t="s">
        <v>51</v>
      </c>
      <c r="E7" s="188" t="s">
        <v>57</v>
      </c>
      <c r="F7" s="189" t="s">
        <v>58</v>
      </c>
      <c r="G7" s="190" t="s">
        <v>59</v>
      </c>
      <c r="H7" s="191" t="s">
        <v>60</v>
      </c>
      <c r="I7" s="192" t="s">
        <v>61</v>
      </c>
      <c r="J7" s="193" t="s">
        <v>62</v>
      </c>
      <c r="K7" s="190" t="s">
        <v>63</v>
      </c>
      <c r="L7" s="190" t="s">
        <v>64</v>
      </c>
      <c r="M7" s="194" t="s">
        <v>73</v>
      </c>
      <c r="N7" s="195" t="s">
        <v>65</v>
      </c>
      <c r="O7" s="196" t="s">
        <v>65</v>
      </c>
      <c r="P7" s="197" t="s">
        <v>66</v>
      </c>
      <c r="Q7" s="190" t="s">
        <v>67</v>
      </c>
      <c r="R7" s="190" t="s">
        <v>68</v>
      </c>
      <c r="S7" s="190" t="s">
        <v>69</v>
      </c>
      <c r="T7" s="190" t="s">
        <v>70</v>
      </c>
      <c r="U7" s="190" t="s">
        <v>71</v>
      </c>
      <c r="V7" s="190" t="s">
        <v>74</v>
      </c>
      <c r="W7" s="190" t="s">
        <v>72</v>
      </c>
      <c r="X7" s="191" t="s">
        <v>72</v>
      </c>
      <c r="Y7" s="197" t="s">
        <v>66</v>
      </c>
      <c r="Z7" s="190" t="s">
        <v>67</v>
      </c>
      <c r="AA7" s="190" t="s">
        <v>68</v>
      </c>
      <c r="AB7" s="190" t="s">
        <v>69</v>
      </c>
      <c r="AC7" s="190" t="s">
        <v>70</v>
      </c>
      <c r="AD7" s="190" t="s">
        <v>71</v>
      </c>
      <c r="AE7" s="190" t="s">
        <v>74</v>
      </c>
      <c r="AF7" s="190" t="s">
        <v>72</v>
      </c>
      <c r="AG7" s="191" t="s">
        <v>72</v>
      </c>
      <c r="AH7" s="197" t="s">
        <v>66</v>
      </c>
      <c r="AI7" s="190" t="s">
        <v>67</v>
      </c>
      <c r="AJ7" s="190" t="s">
        <v>68</v>
      </c>
      <c r="AK7" s="190" t="s">
        <v>69</v>
      </c>
      <c r="AL7" s="190" t="s">
        <v>70</v>
      </c>
      <c r="AM7" s="190" t="s">
        <v>71</v>
      </c>
      <c r="AN7" s="190" t="s">
        <v>75</v>
      </c>
      <c r="AO7" s="190" t="s">
        <v>72</v>
      </c>
      <c r="AP7" s="191" t="s">
        <v>72</v>
      </c>
    </row>
    <row r="8" spans="1:43" ht="54" customHeight="1" x14ac:dyDescent="0.25">
      <c r="A8" s="254"/>
      <c r="B8" s="255"/>
      <c r="C8" s="286" t="s">
        <v>76</v>
      </c>
      <c r="D8" s="287" t="s">
        <v>14</v>
      </c>
      <c r="E8" s="202">
        <v>1</v>
      </c>
      <c r="F8" s="203">
        <f t="shared" ref="F8:F15" si="0">$D$4*E8</f>
        <v>11339.80925</v>
      </c>
      <c r="G8" s="202">
        <f>'Release Days and Sites'!O6</f>
        <v>1</v>
      </c>
      <c r="H8" s="204">
        <f>'Release Days and Sites'!H6</f>
        <v>75</v>
      </c>
      <c r="I8" s="205">
        <v>0</v>
      </c>
      <c r="J8" s="206">
        <v>0</v>
      </c>
      <c r="K8" s="207">
        <f>'Releases_Exp. Scen. 1'!H6</f>
        <v>0.01</v>
      </c>
      <c r="L8" s="206">
        <v>0</v>
      </c>
      <c r="M8" s="207">
        <f>'Releases_Exp. Scen. 1'!H5</f>
        <v>1E-3</v>
      </c>
      <c r="N8" s="207"/>
      <c r="O8" s="208"/>
      <c r="P8" s="209" t="s">
        <v>77</v>
      </c>
      <c r="Q8" s="210" t="s">
        <v>77</v>
      </c>
      <c r="R8" s="210" t="s">
        <v>77</v>
      </c>
      <c r="S8" s="210" t="s">
        <v>77</v>
      </c>
      <c r="T8" s="211">
        <f>$F8/$G8*K8/$H8</f>
        <v>1.5119745666666666</v>
      </c>
      <c r="U8" s="210" t="s">
        <v>77</v>
      </c>
      <c r="V8" s="212">
        <f>$F8/$G8*M8/$H8</f>
        <v>0.15119745666666667</v>
      </c>
      <c r="W8" s="210" t="s">
        <v>77</v>
      </c>
      <c r="X8" s="213" t="s">
        <v>77</v>
      </c>
      <c r="Y8" s="209" t="s">
        <v>77</v>
      </c>
      <c r="Z8" s="210" t="s">
        <v>77</v>
      </c>
      <c r="AA8" s="210" t="s">
        <v>77</v>
      </c>
      <c r="AB8" s="210" t="s">
        <v>77</v>
      </c>
      <c r="AC8" s="214">
        <f>T8*$H8</f>
        <v>113.3980925</v>
      </c>
      <c r="AD8" s="210" t="s">
        <v>77</v>
      </c>
      <c r="AE8" s="214">
        <f>V8*$H8</f>
        <v>11.33980925</v>
      </c>
      <c r="AF8" s="210" t="s">
        <v>77</v>
      </c>
      <c r="AG8" s="213" t="s">
        <v>77</v>
      </c>
      <c r="AH8" s="209" t="s">
        <v>77</v>
      </c>
      <c r="AI8" s="210" t="s">
        <v>77</v>
      </c>
      <c r="AJ8" s="210" t="s">
        <v>77</v>
      </c>
      <c r="AK8" s="210" t="s">
        <v>77</v>
      </c>
      <c r="AL8" s="214">
        <f>AC8*$G8</f>
        <v>113.3980925</v>
      </c>
      <c r="AM8" s="210" t="s">
        <v>77</v>
      </c>
      <c r="AN8" s="214">
        <f>AE8*$G8</f>
        <v>11.33980925</v>
      </c>
      <c r="AO8" s="210" t="s">
        <v>77</v>
      </c>
      <c r="AP8" s="213" t="s">
        <v>77</v>
      </c>
      <c r="AQ8" s="125"/>
    </row>
    <row r="9" spans="1:43" ht="54" customHeight="1" x14ac:dyDescent="0.25">
      <c r="A9" s="254"/>
      <c r="B9" s="255"/>
      <c r="C9" s="286"/>
      <c r="D9" s="287"/>
      <c r="E9" s="202">
        <v>1</v>
      </c>
      <c r="F9" s="203">
        <f t="shared" si="0"/>
        <v>11339.80925</v>
      </c>
      <c r="G9" s="202">
        <f>'Release Days and Sites'!N6</f>
        <v>1</v>
      </c>
      <c r="H9" s="204">
        <f>'Release Days and Sites'!G6</f>
        <v>7</v>
      </c>
      <c r="I9" s="205">
        <v>0</v>
      </c>
      <c r="J9" s="206">
        <v>0</v>
      </c>
      <c r="K9" s="207">
        <f>'Releases_Exp. Scen. 1'!H6</f>
        <v>0.01</v>
      </c>
      <c r="L9" s="206">
        <v>0</v>
      </c>
      <c r="M9" s="207">
        <f>'Releases_Exp. Scen. 1'!H5</f>
        <v>1E-3</v>
      </c>
      <c r="N9" s="207"/>
      <c r="O9" s="208"/>
      <c r="P9" s="209" t="s">
        <v>77</v>
      </c>
      <c r="Q9" s="210" t="s">
        <v>77</v>
      </c>
      <c r="R9" s="210" t="s">
        <v>77</v>
      </c>
      <c r="S9" s="210" t="s">
        <v>77</v>
      </c>
      <c r="T9" s="211">
        <f>$F9/$G9*K9/$H9</f>
        <v>16.199727500000002</v>
      </c>
      <c r="U9" s="210" t="s">
        <v>77</v>
      </c>
      <c r="V9" s="212">
        <f>$F9/$G9*M9/$H9</f>
        <v>1.6199727500000001</v>
      </c>
      <c r="W9" s="210" t="s">
        <v>77</v>
      </c>
      <c r="X9" s="213" t="s">
        <v>77</v>
      </c>
      <c r="Y9" s="209" t="s">
        <v>77</v>
      </c>
      <c r="Z9" s="210" t="s">
        <v>77</v>
      </c>
      <c r="AA9" s="210" t="s">
        <v>77</v>
      </c>
      <c r="AB9" s="210" t="s">
        <v>77</v>
      </c>
      <c r="AC9" s="214">
        <f t="shared" ref="AC9:AE11" si="1">T9*$H9</f>
        <v>113.39809250000002</v>
      </c>
      <c r="AD9" s="210" t="s">
        <v>77</v>
      </c>
      <c r="AE9" s="214">
        <f t="shared" si="1"/>
        <v>11.33980925</v>
      </c>
      <c r="AF9" s="210" t="s">
        <v>77</v>
      </c>
      <c r="AG9" s="213" t="s">
        <v>77</v>
      </c>
      <c r="AH9" s="209" t="s">
        <v>77</v>
      </c>
      <c r="AI9" s="210" t="s">
        <v>77</v>
      </c>
      <c r="AJ9" s="210" t="s">
        <v>77</v>
      </c>
      <c r="AK9" s="210" t="s">
        <v>77</v>
      </c>
      <c r="AL9" s="214">
        <f>AC9*$G9</f>
        <v>113.39809250000002</v>
      </c>
      <c r="AM9" s="210" t="s">
        <v>77</v>
      </c>
      <c r="AN9" s="214">
        <f>AE9*$G9</f>
        <v>11.33980925</v>
      </c>
      <c r="AO9" s="210" t="s">
        <v>77</v>
      </c>
      <c r="AP9" s="213" t="s">
        <v>77</v>
      </c>
      <c r="AQ9" s="125"/>
    </row>
    <row r="10" spans="1:43" ht="54" customHeight="1" x14ac:dyDescent="0.25">
      <c r="A10" s="254"/>
      <c r="B10" s="255"/>
      <c r="C10" s="286" t="s">
        <v>78</v>
      </c>
      <c r="D10" s="287"/>
      <c r="E10" s="202">
        <v>1</v>
      </c>
      <c r="F10" s="203">
        <f t="shared" si="0"/>
        <v>11339.80925</v>
      </c>
      <c r="G10" s="202">
        <f>'Release Days and Sites'!O6</f>
        <v>1</v>
      </c>
      <c r="H10" s="204">
        <f>'Release Days and Sites'!H6</f>
        <v>75</v>
      </c>
      <c r="I10" s="205">
        <v>0</v>
      </c>
      <c r="J10" s="206">
        <v>0</v>
      </c>
      <c r="K10" s="207">
        <f>'Releases_Exp. Scen. 1'!I6</f>
        <v>0.01</v>
      </c>
      <c r="L10" s="206">
        <v>0</v>
      </c>
      <c r="M10" s="207">
        <f>'Releases_Exp. Scen. 1'!I5</f>
        <v>5.0000000000000001E-3</v>
      </c>
      <c r="N10" s="207"/>
      <c r="O10" s="208"/>
      <c r="P10" s="209" t="s">
        <v>77</v>
      </c>
      <c r="Q10" s="210" t="s">
        <v>77</v>
      </c>
      <c r="R10" s="210" t="s">
        <v>77</v>
      </c>
      <c r="S10" s="210" t="s">
        <v>77</v>
      </c>
      <c r="T10" s="211">
        <f>$F10/$G10*K10/$H10</f>
        <v>1.5119745666666666</v>
      </c>
      <c r="U10" s="210" t="s">
        <v>77</v>
      </c>
      <c r="V10" s="212">
        <f>$F10/$G10*M10/$H10</f>
        <v>0.75598728333333332</v>
      </c>
      <c r="W10" s="210" t="s">
        <v>77</v>
      </c>
      <c r="X10" s="213" t="s">
        <v>77</v>
      </c>
      <c r="Y10" s="209" t="s">
        <v>77</v>
      </c>
      <c r="Z10" s="210" t="s">
        <v>77</v>
      </c>
      <c r="AA10" s="210" t="s">
        <v>77</v>
      </c>
      <c r="AB10" s="210" t="s">
        <v>77</v>
      </c>
      <c r="AC10" s="214">
        <f t="shared" si="1"/>
        <v>113.3980925</v>
      </c>
      <c r="AD10" s="210" t="s">
        <v>77</v>
      </c>
      <c r="AE10" s="214">
        <f t="shared" si="1"/>
        <v>56.699046250000002</v>
      </c>
      <c r="AF10" s="210" t="s">
        <v>77</v>
      </c>
      <c r="AG10" s="213" t="s">
        <v>77</v>
      </c>
      <c r="AH10" s="209" t="s">
        <v>77</v>
      </c>
      <c r="AI10" s="210" t="s">
        <v>77</v>
      </c>
      <c r="AJ10" s="210" t="s">
        <v>77</v>
      </c>
      <c r="AK10" s="210" t="s">
        <v>77</v>
      </c>
      <c r="AL10" s="214">
        <f>AC10*$G10</f>
        <v>113.3980925</v>
      </c>
      <c r="AM10" s="210" t="s">
        <v>77</v>
      </c>
      <c r="AN10" s="214">
        <f>AE10*$G10</f>
        <v>56.699046250000002</v>
      </c>
      <c r="AO10" s="210" t="s">
        <v>77</v>
      </c>
      <c r="AP10" s="213" t="s">
        <v>77</v>
      </c>
      <c r="AQ10" s="125"/>
    </row>
    <row r="11" spans="1:43" ht="54" customHeight="1" thickBot="1" x14ac:dyDescent="0.3">
      <c r="A11" s="269"/>
      <c r="B11" s="270"/>
      <c r="C11" s="295"/>
      <c r="D11" s="296"/>
      <c r="E11" s="221">
        <v>1</v>
      </c>
      <c r="F11" s="222">
        <f t="shared" si="0"/>
        <v>11339.80925</v>
      </c>
      <c r="G11" s="221">
        <f>'Release Days and Sites'!N6</f>
        <v>1</v>
      </c>
      <c r="H11" s="223">
        <f>'Release Days and Sites'!G6</f>
        <v>7</v>
      </c>
      <c r="I11" s="224">
        <v>0</v>
      </c>
      <c r="J11" s="225">
        <v>0</v>
      </c>
      <c r="K11" s="226">
        <f>'Releases_Exp. Scen. 1'!I6</f>
        <v>0.01</v>
      </c>
      <c r="L11" s="225">
        <v>0</v>
      </c>
      <c r="M11" s="226">
        <f>'Releases_Exp. Scen. 1'!I5</f>
        <v>5.0000000000000001E-3</v>
      </c>
      <c r="N11" s="226"/>
      <c r="O11" s="227"/>
      <c r="P11" s="228" t="s">
        <v>77</v>
      </c>
      <c r="Q11" s="229" t="s">
        <v>77</v>
      </c>
      <c r="R11" s="229" t="s">
        <v>77</v>
      </c>
      <c r="S11" s="229" t="s">
        <v>77</v>
      </c>
      <c r="T11" s="230">
        <f>$F11/$G11*K11/$H11</f>
        <v>16.199727500000002</v>
      </c>
      <c r="U11" s="229" t="s">
        <v>77</v>
      </c>
      <c r="V11" s="231">
        <f>$F11/$G11*M11/$H11</f>
        <v>8.0998637500000008</v>
      </c>
      <c r="W11" s="229" t="s">
        <v>77</v>
      </c>
      <c r="X11" s="232" t="s">
        <v>77</v>
      </c>
      <c r="Y11" s="228" t="s">
        <v>77</v>
      </c>
      <c r="Z11" s="229" t="s">
        <v>77</v>
      </c>
      <c r="AA11" s="229" t="s">
        <v>77</v>
      </c>
      <c r="AB11" s="229" t="s">
        <v>77</v>
      </c>
      <c r="AC11" s="233">
        <f t="shared" si="1"/>
        <v>113.39809250000002</v>
      </c>
      <c r="AD11" s="229" t="s">
        <v>77</v>
      </c>
      <c r="AE11" s="233">
        <f t="shared" si="1"/>
        <v>56.699046250000009</v>
      </c>
      <c r="AF11" s="229" t="s">
        <v>77</v>
      </c>
      <c r="AG11" s="232" t="s">
        <v>77</v>
      </c>
      <c r="AH11" s="228" t="s">
        <v>77</v>
      </c>
      <c r="AI11" s="229" t="s">
        <v>77</v>
      </c>
      <c r="AJ11" s="229" t="s">
        <v>77</v>
      </c>
      <c r="AK11" s="229" t="s">
        <v>77</v>
      </c>
      <c r="AL11" s="233">
        <f>AC11*$G11</f>
        <v>113.39809250000002</v>
      </c>
      <c r="AM11" s="229" t="s">
        <v>77</v>
      </c>
      <c r="AN11" s="233">
        <f>AE11*$G11</f>
        <v>56.699046250000009</v>
      </c>
      <c r="AO11" s="229" t="s">
        <v>77</v>
      </c>
      <c r="AP11" s="232" t="s">
        <v>77</v>
      </c>
      <c r="AQ11" s="125"/>
    </row>
    <row r="12" spans="1:43" ht="45" customHeight="1" x14ac:dyDescent="0.25">
      <c r="A12" s="281">
        <v>3</v>
      </c>
      <c r="B12" s="235" t="s">
        <v>32</v>
      </c>
      <c r="C12" s="281" t="s">
        <v>79</v>
      </c>
      <c r="D12" s="282" t="s">
        <v>16</v>
      </c>
      <c r="E12" s="238">
        <v>1</v>
      </c>
      <c r="F12" s="239">
        <f t="shared" si="0"/>
        <v>11339.80925</v>
      </c>
      <c r="G12" s="238">
        <f>'Release Days and Sites'!O8</f>
        <v>1</v>
      </c>
      <c r="H12" s="243" t="str">
        <f>'Release Days and Sites'!H8</f>
        <v>15 (water); 16 (air)</v>
      </c>
      <c r="I12" s="241">
        <f>'Releases_Exp. Scen. 3'!C20</f>
        <v>5.7872044506258695E-5</v>
      </c>
      <c r="J12" s="242">
        <f>'Releases_Exp. Scen. 3'!B20</f>
        <v>1.070931849791377E-5</v>
      </c>
      <c r="K12" s="238"/>
      <c r="L12" s="238"/>
      <c r="M12" s="238"/>
      <c r="N12" s="238"/>
      <c r="O12" s="243"/>
      <c r="P12" s="251">
        <f>$F12/$G12*I12/16</f>
        <v>4.1016121600530253E-2</v>
      </c>
      <c r="Q12" s="252"/>
      <c r="R12" s="252">
        <f>$F12/$G12*J12/15</f>
        <v>8.0961085975892449E-3</v>
      </c>
      <c r="S12" s="252"/>
      <c r="T12" s="246" t="s">
        <v>77</v>
      </c>
      <c r="U12" s="246" t="s">
        <v>77</v>
      </c>
      <c r="V12" s="246" t="s">
        <v>77</v>
      </c>
      <c r="W12" s="246" t="s">
        <v>77</v>
      </c>
      <c r="X12" s="247" t="s">
        <v>77</v>
      </c>
      <c r="Y12" s="283">
        <f>P12*16</f>
        <v>0.65625794560848405</v>
      </c>
      <c r="Z12" s="284"/>
      <c r="AA12" s="252">
        <f>R12*15</f>
        <v>0.12144162896383867</v>
      </c>
      <c r="AB12" s="252"/>
      <c r="AC12" s="246" t="s">
        <v>77</v>
      </c>
      <c r="AD12" s="246" t="s">
        <v>77</v>
      </c>
      <c r="AE12" s="246" t="s">
        <v>77</v>
      </c>
      <c r="AF12" s="246" t="s">
        <v>77</v>
      </c>
      <c r="AG12" s="247" t="s">
        <v>77</v>
      </c>
      <c r="AH12" s="285">
        <f>Y12*$G12</f>
        <v>0.65625794560848405</v>
      </c>
      <c r="AI12" s="250"/>
      <c r="AJ12" s="250">
        <f>AA12*$G12</f>
        <v>0.12144162896383867</v>
      </c>
      <c r="AK12" s="250"/>
      <c r="AL12" s="246" t="s">
        <v>77</v>
      </c>
      <c r="AM12" s="246" t="s">
        <v>77</v>
      </c>
      <c r="AN12" s="246" t="s">
        <v>77</v>
      </c>
      <c r="AO12" s="246" t="s">
        <v>77</v>
      </c>
      <c r="AP12" s="247" t="s">
        <v>77</v>
      </c>
      <c r="AQ12" s="125"/>
    </row>
    <row r="13" spans="1:43" ht="45" customHeight="1" x14ac:dyDescent="0.25">
      <c r="A13" s="286"/>
      <c r="B13" s="255"/>
      <c r="C13" s="286"/>
      <c r="D13" s="287"/>
      <c r="E13" s="202">
        <v>1</v>
      </c>
      <c r="F13" s="203">
        <f t="shared" si="0"/>
        <v>11339.80925</v>
      </c>
      <c r="G13" s="202">
        <f>'Release Days and Sites'!N8</f>
        <v>1</v>
      </c>
      <c r="H13" s="257">
        <f>'Release Days and Sites'!G8</f>
        <v>1</v>
      </c>
      <c r="I13" s="256">
        <f>'Releases_Exp. Scen. 3'!C20</f>
        <v>5.7872044506258695E-5</v>
      </c>
      <c r="J13" s="207">
        <f>'Releases_Exp. Scen. 3'!B20</f>
        <v>1.070931849791377E-5</v>
      </c>
      <c r="K13" s="202"/>
      <c r="L13" s="202"/>
      <c r="M13" s="202"/>
      <c r="N13" s="202"/>
      <c r="O13" s="257"/>
      <c r="P13" s="263">
        <f>$F13/$G13*I13/1</f>
        <v>0.65625794560848405</v>
      </c>
      <c r="Q13" s="264"/>
      <c r="R13" s="264">
        <f>$F13/$G13*J13/1</f>
        <v>0.12144162896383867</v>
      </c>
      <c r="S13" s="264"/>
      <c r="T13" s="210" t="s">
        <v>77</v>
      </c>
      <c r="U13" s="210" t="s">
        <v>77</v>
      </c>
      <c r="V13" s="210" t="s">
        <v>77</v>
      </c>
      <c r="W13" s="210" t="s">
        <v>77</v>
      </c>
      <c r="X13" s="213" t="s">
        <v>77</v>
      </c>
      <c r="Y13" s="288">
        <f>P13*1</f>
        <v>0.65625794560848405</v>
      </c>
      <c r="Z13" s="289"/>
      <c r="AA13" s="264">
        <f>R13*1</f>
        <v>0.12144162896383867</v>
      </c>
      <c r="AB13" s="264"/>
      <c r="AC13" s="210" t="s">
        <v>77</v>
      </c>
      <c r="AD13" s="210" t="s">
        <v>77</v>
      </c>
      <c r="AE13" s="210" t="s">
        <v>77</v>
      </c>
      <c r="AF13" s="210" t="s">
        <v>77</v>
      </c>
      <c r="AG13" s="213" t="s">
        <v>77</v>
      </c>
      <c r="AH13" s="290">
        <f>Y13*$G13</f>
        <v>0.65625794560848405</v>
      </c>
      <c r="AI13" s="262"/>
      <c r="AJ13" s="262">
        <f>AA13*$G13</f>
        <v>0.12144162896383867</v>
      </c>
      <c r="AK13" s="262"/>
      <c r="AL13" s="210" t="s">
        <v>77</v>
      </c>
      <c r="AM13" s="210" t="s">
        <v>77</v>
      </c>
      <c r="AN13" s="210" t="s">
        <v>77</v>
      </c>
      <c r="AO13" s="210" t="s">
        <v>77</v>
      </c>
      <c r="AP13" s="213" t="s">
        <v>77</v>
      </c>
      <c r="AQ13" s="125"/>
    </row>
    <row r="14" spans="1:43" ht="39.75" customHeight="1" x14ac:dyDescent="0.25">
      <c r="A14" s="286"/>
      <c r="B14" s="255"/>
      <c r="C14" s="286" t="s">
        <v>81</v>
      </c>
      <c r="D14" s="287"/>
      <c r="E14" s="202">
        <v>1</v>
      </c>
      <c r="F14" s="203">
        <f t="shared" si="0"/>
        <v>11339.80925</v>
      </c>
      <c r="G14" s="202">
        <f>'Release Days and Sites'!O8</f>
        <v>1</v>
      </c>
      <c r="H14" s="257" t="str">
        <f>'Release Days and Sites'!H8</f>
        <v>15 (water); 16 (air)</v>
      </c>
      <c r="I14" s="256">
        <f>'Releases_Exp. Scen. 3'!C21</f>
        <v>5.7962413452027699E-5</v>
      </c>
      <c r="J14" s="207">
        <f>'Releases_Exp. Scen. 3'!B21</f>
        <v>2.6310583580613257E-5</v>
      </c>
      <c r="K14" s="202"/>
      <c r="L14" s="202"/>
      <c r="M14" s="202"/>
      <c r="N14" s="202"/>
      <c r="O14" s="257"/>
      <c r="P14" s="263">
        <f>$F14/$G14*I14/16</f>
        <v>4.1080169513476761E-2</v>
      </c>
      <c r="Q14" s="264"/>
      <c r="R14" s="262">
        <f>$F14/$G14*J14/15</f>
        <v>1.9890466604022425E-2</v>
      </c>
      <c r="S14" s="262"/>
      <c r="T14" s="210" t="s">
        <v>77</v>
      </c>
      <c r="U14" s="210" t="s">
        <v>77</v>
      </c>
      <c r="V14" s="210" t="s">
        <v>77</v>
      </c>
      <c r="W14" s="210" t="s">
        <v>77</v>
      </c>
      <c r="X14" s="213" t="s">
        <v>77</v>
      </c>
      <c r="Y14" s="291">
        <f>P14*16</f>
        <v>0.65728271221562817</v>
      </c>
      <c r="Z14" s="292"/>
      <c r="AA14" s="262">
        <f>R14*15</f>
        <v>0.29835699906033636</v>
      </c>
      <c r="AB14" s="262"/>
      <c r="AC14" s="210" t="s">
        <v>77</v>
      </c>
      <c r="AD14" s="210" t="s">
        <v>77</v>
      </c>
      <c r="AE14" s="210" t="s">
        <v>77</v>
      </c>
      <c r="AF14" s="210" t="s">
        <v>77</v>
      </c>
      <c r="AG14" s="213" t="s">
        <v>77</v>
      </c>
      <c r="AH14" s="293">
        <f>Y14*$G14</f>
        <v>0.65728271221562817</v>
      </c>
      <c r="AI14" s="294"/>
      <c r="AJ14" s="262">
        <f>AA14*$G14</f>
        <v>0.29835699906033636</v>
      </c>
      <c r="AK14" s="262"/>
      <c r="AL14" s="210" t="s">
        <v>77</v>
      </c>
      <c r="AM14" s="210" t="s">
        <v>77</v>
      </c>
      <c r="AN14" s="210" t="s">
        <v>77</v>
      </c>
      <c r="AO14" s="210" t="s">
        <v>77</v>
      </c>
      <c r="AP14" s="213" t="s">
        <v>77</v>
      </c>
      <c r="AQ14" s="125"/>
    </row>
    <row r="15" spans="1:43" ht="39.75" customHeight="1" thickBot="1" x14ac:dyDescent="0.3">
      <c r="A15" s="295"/>
      <c r="B15" s="270"/>
      <c r="C15" s="295"/>
      <c r="D15" s="296"/>
      <c r="E15" s="221">
        <v>1</v>
      </c>
      <c r="F15" s="222">
        <f t="shared" si="0"/>
        <v>11339.80925</v>
      </c>
      <c r="G15" s="221">
        <f>'Release Days and Sites'!N8</f>
        <v>1</v>
      </c>
      <c r="H15" s="272">
        <f>'Release Days and Sites'!G8</f>
        <v>1</v>
      </c>
      <c r="I15" s="271">
        <f>'Releases_Exp. Scen. 3'!C21</f>
        <v>5.7962413452027699E-5</v>
      </c>
      <c r="J15" s="226">
        <f>'Releases_Exp. Scen. 3'!B21</f>
        <v>2.6310583580613257E-5</v>
      </c>
      <c r="K15" s="221"/>
      <c r="L15" s="221"/>
      <c r="M15" s="221"/>
      <c r="N15" s="221"/>
      <c r="O15" s="272"/>
      <c r="P15" s="297">
        <f>$F15/$G15*I15/1</f>
        <v>0.65728271221562817</v>
      </c>
      <c r="Q15" s="298"/>
      <c r="R15" s="299">
        <f>$F15/$G15*J15/1</f>
        <v>0.29835699906033636</v>
      </c>
      <c r="S15" s="299"/>
      <c r="T15" s="229" t="s">
        <v>77</v>
      </c>
      <c r="U15" s="229" t="s">
        <v>77</v>
      </c>
      <c r="V15" s="229" t="s">
        <v>77</v>
      </c>
      <c r="W15" s="229" t="s">
        <v>77</v>
      </c>
      <c r="X15" s="232" t="s">
        <v>77</v>
      </c>
      <c r="Y15" s="300">
        <f>P15*1</f>
        <v>0.65728271221562817</v>
      </c>
      <c r="Z15" s="301"/>
      <c r="AA15" s="299">
        <f>R15*1</f>
        <v>0.29835699906033636</v>
      </c>
      <c r="AB15" s="299"/>
      <c r="AC15" s="229" t="s">
        <v>77</v>
      </c>
      <c r="AD15" s="229" t="s">
        <v>77</v>
      </c>
      <c r="AE15" s="229" t="s">
        <v>77</v>
      </c>
      <c r="AF15" s="229" t="s">
        <v>77</v>
      </c>
      <c r="AG15" s="232" t="s">
        <v>77</v>
      </c>
      <c r="AH15" s="302">
        <f>Y15*$G15</f>
        <v>0.65728271221562817</v>
      </c>
      <c r="AI15" s="303"/>
      <c r="AJ15" s="299">
        <f>AA15*$G15</f>
        <v>0.29835699906033636</v>
      </c>
      <c r="AK15" s="299"/>
      <c r="AL15" s="229" t="s">
        <v>77</v>
      </c>
      <c r="AM15" s="229" t="s">
        <v>77</v>
      </c>
      <c r="AN15" s="229" t="s">
        <v>77</v>
      </c>
      <c r="AO15" s="229" t="s">
        <v>77</v>
      </c>
      <c r="AP15" s="232" t="s">
        <v>77</v>
      </c>
      <c r="AQ15" s="125"/>
    </row>
    <row r="16" spans="1:43" ht="66" customHeight="1" x14ac:dyDescent="0.25">
      <c r="A16" s="234">
        <v>5</v>
      </c>
      <c r="B16" s="235" t="s">
        <v>34</v>
      </c>
      <c r="C16" s="186" t="s">
        <v>50</v>
      </c>
      <c r="D16" s="187" t="s">
        <v>51</v>
      </c>
      <c r="E16" s="188" t="s">
        <v>249</v>
      </c>
      <c r="F16" s="189" t="s">
        <v>58</v>
      </c>
      <c r="G16" s="190" t="s">
        <v>59</v>
      </c>
      <c r="H16" s="191" t="s">
        <v>60</v>
      </c>
      <c r="I16" s="192" t="s">
        <v>61</v>
      </c>
      <c r="J16" s="193" t="s">
        <v>62</v>
      </c>
      <c r="K16" s="190" t="s">
        <v>63</v>
      </c>
      <c r="L16" s="190" t="s">
        <v>64</v>
      </c>
      <c r="M16" s="316" t="s">
        <v>73</v>
      </c>
      <c r="N16" s="316" t="s">
        <v>86</v>
      </c>
      <c r="O16" s="196" t="s">
        <v>87</v>
      </c>
      <c r="P16" s="197" t="s">
        <v>66</v>
      </c>
      <c r="Q16" s="190" t="s">
        <v>67</v>
      </c>
      <c r="R16" s="190" t="s">
        <v>68</v>
      </c>
      <c r="S16" s="190" t="s">
        <v>69</v>
      </c>
      <c r="T16" s="190" t="s">
        <v>70</v>
      </c>
      <c r="U16" s="190" t="s">
        <v>71</v>
      </c>
      <c r="V16" s="190" t="s">
        <v>74</v>
      </c>
      <c r="W16" s="190" t="s">
        <v>88</v>
      </c>
      <c r="X16" s="196" t="s">
        <v>89</v>
      </c>
      <c r="Y16" s="197" t="s">
        <v>66</v>
      </c>
      <c r="Z16" s="190" t="s">
        <v>67</v>
      </c>
      <c r="AA16" s="190" t="s">
        <v>68</v>
      </c>
      <c r="AB16" s="190" t="s">
        <v>69</v>
      </c>
      <c r="AC16" s="190" t="s">
        <v>70</v>
      </c>
      <c r="AD16" s="190" t="s">
        <v>71</v>
      </c>
      <c r="AE16" s="190" t="s">
        <v>74</v>
      </c>
      <c r="AF16" s="190" t="s">
        <v>88</v>
      </c>
      <c r="AG16" s="196" t="s">
        <v>89</v>
      </c>
      <c r="AH16" s="197" t="s">
        <v>66</v>
      </c>
      <c r="AI16" s="190" t="s">
        <v>67</v>
      </c>
      <c r="AJ16" s="190" t="s">
        <v>68</v>
      </c>
      <c r="AK16" s="190" t="s">
        <v>69</v>
      </c>
      <c r="AL16" s="190" t="s">
        <v>70</v>
      </c>
      <c r="AM16" s="190" t="s">
        <v>71</v>
      </c>
      <c r="AN16" s="190" t="s">
        <v>75</v>
      </c>
      <c r="AO16" s="190" t="s">
        <v>88</v>
      </c>
      <c r="AP16" s="196" t="s">
        <v>89</v>
      </c>
      <c r="AQ16" s="125"/>
    </row>
    <row r="17" spans="1:43" ht="77.25" customHeight="1" x14ac:dyDescent="0.25">
      <c r="A17" s="254"/>
      <c r="B17" s="255"/>
      <c r="C17" s="286" t="s">
        <v>76</v>
      </c>
      <c r="D17" s="287" t="s">
        <v>19</v>
      </c>
      <c r="E17" s="202">
        <v>1</v>
      </c>
      <c r="F17" s="203">
        <f>$D$4*E17</f>
        <v>11339.80925</v>
      </c>
      <c r="G17" s="202">
        <f>'Release Days and Sites'!O10</f>
        <v>1</v>
      </c>
      <c r="H17" s="204">
        <f>'Release Days and Sites'!H10</f>
        <v>140</v>
      </c>
      <c r="I17" s="256"/>
      <c r="J17" s="207"/>
      <c r="K17" s="207">
        <f>'Releases_Exp. Scen. 5 and 10'!H6</f>
        <v>0.01</v>
      </c>
      <c r="L17" s="202"/>
      <c r="M17" s="207">
        <f>'Releases_Exp. Scen. 5 and 10'!H7</f>
        <v>1E-3</v>
      </c>
      <c r="N17" s="207">
        <f>'Releases_Exp. Scen. 5 and 10'!H8</f>
        <v>0.01</v>
      </c>
      <c r="O17" s="208">
        <f>'Releases_Exp. Scen. 5 and 10'!H9</f>
        <v>0.01</v>
      </c>
      <c r="P17" s="209" t="s">
        <v>77</v>
      </c>
      <c r="Q17" s="210" t="s">
        <v>77</v>
      </c>
      <c r="R17" s="210" t="s">
        <v>77</v>
      </c>
      <c r="S17" s="210" t="s">
        <v>77</v>
      </c>
      <c r="T17" s="317">
        <f>$F17/$G17*K17/$H17</f>
        <v>0.80998637500000004</v>
      </c>
      <c r="U17" s="210" t="s">
        <v>77</v>
      </c>
      <c r="V17" s="211">
        <f t="shared" ref="V17:X20" si="2">$F17/$G17*M17/$H17</f>
        <v>8.0998637499999998E-2</v>
      </c>
      <c r="W17" s="317">
        <f t="shared" si="2"/>
        <v>0.80998637500000004</v>
      </c>
      <c r="X17" s="318">
        <f t="shared" si="2"/>
        <v>0.80998637500000004</v>
      </c>
      <c r="Y17" s="209" t="s">
        <v>77</v>
      </c>
      <c r="Z17" s="210" t="s">
        <v>77</v>
      </c>
      <c r="AA17" s="210" t="s">
        <v>77</v>
      </c>
      <c r="AB17" s="210" t="s">
        <v>77</v>
      </c>
      <c r="AC17" s="214">
        <f>T17*$H17</f>
        <v>113.3980925</v>
      </c>
      <c r="AD17" s="210" t="s">
        <v>77</v>
      </c>
      <c r="AE17" s="214">
        <f t="shared" ref="AE17:AG20" si="3">V17*$H17</f>
        <v>11.33980925</v>
      </c>
      <c r="AF17" s="214">
        <f t="shared" si="3"/>
        <v>113.3980925</v>
      </c>
      <c r="AG17" s="204">
        <f t="shared" si="3"/>
        <v>113.3980925</v>
      </c>
      <c r="AH17" s="209" t="s">
        <v>77</v>
      </c>
      <c r="AI17" s="210" t="s">
        <v>77</v>
      </c>
      <c r="AJ17" s="210" t="s">
        <v>77</v>
      </c>
      <c r="AK17" s="210" t="s">
        <v>77</v>
      </c>
      <c r="AL17" s="214">
        <f>AC17*$G17</f>
        <v>113.3980925</v>
      </c>
      <c r="AM17" s="210" t="s">
        <v>77</v>
      </c>
      <c r="AN17" s="214">
        <f t="shared" ref="AN17:AP20" si="4">AE17*$G17</f>
        <v>11.33980925</v>
      </c>
      <c r="AO17" s="214">
        <f t="shared" si="4"/>
        <v>113.3980925</v>
      </c>
      <c r="AP17" s="204">
        <f t="shared" si="4"/>
        <v>113.3980925</v>
      </c>
      <c r="AQ17" s="125"/>
    </row>
    <row r="18" spans="1:43" ht="24.75" customHeight="1" x14ac:dyDescent="0.25">
      <c r="A18" s="254"/>
      <c r="B18" s="255"/>
      <c r="C18" s="286"/>
      <c r="D18" s="287"/>
      <c r="E18" s="202">
        <v>1</v>
      </c>
      <c r="F18" s="203">
        <f>$D$4*E18</f>
        <v>11339.80925</v>
      </c>
      <c r="G18" s="202">
        <f>'Release Days and Sites'!N10</f>
        <v>1</v>
      </c>
      <c r="H18" s="204">
        <f>'Release Days and Sites'!G10</f>
        <v>4</v>
      </c>
      <c r="I18" s="256"/>
      <c r="J18" s="207"/>
      <c r="K18" s="207">
        <f>'Releases_Exp. Scen. 5 and 10'!H6</f>
        <v>0.01</v>
      </c>
      <c r="L18" s="202"/>
      <c r="M18" s="207">
        <f>'Releases_Exp. Scen. 5 and 10'!H7</f>
        <v>1E-3</v>
      </c>
      <c r="N18" s="207">
        <f>'Releases_Exp. Scen. 5 and 10'!H8</f>
        <v>0.01</v>
      </c>
      <c r="O18" s="208">
        <f>'Releases_Exp. Scen. 5 and 10'!H9</f>
        <v>0.01</v>
      </c>
      <c r="P18" s="209" t="s">
        <v>77</v>
      </c>
      <c r="Q18" s="210" t="s">
        <v>77</v>
      </c>
      <c r="R18" s="210" t="s">
        <v>77</v>
      </c>
      <c r="S18" s="210" t="s">
        <v>77</v>
      </c>
      <c r="T18" s="317">
        <f>$F18/$G18*K18/$H18</f>
        <v>28.349523125000001</v>
      </c>
      <c r="U18" s="210" t="s">
        <v>77</v>
      </c>
      <c r="V18" s="211">
        <f t="shared" si="2"/>
        <v>2.8349523125</v>
      </c>
      <c r="W18" s="317">
        <f t="shared" si="2"/>
        <v>28.349523125000001</v>
      </c>
      <c r="X18" s="318">
        <f t="shared" si="2"/>
        <v>28.349523125000001</v>
      </c>
      <c r="Y18" s="209" t="s">
        <v>77</v>
      </c>
      <c r="Z18" s="210" t="s">
        <v>77</v>
      </c>
      <c r="AA18" s="210" t="s">
        <v>77</v>
      </c>
      <c r="AB18" s="210" t="s">
        <v>77</v>
      </c>
      <c r="AC18" s="214">
        <f>T18*$H18</f>
        <v>113.3980925</v>
      </c>
      <c r="AD18" s="210" t="s">
        <v>77</v>
      </c>
      <c r="AE18" s="214">
        <f t="shared" si="3"/>
        <v>11.33980925</v>
      </c>
      <c r="AF18" s="214">
        <f t="shared" si="3"/>
        <v>113.3980925</v>
      </c>
      <c r="AG18" s="204">
        <f t="shared" si="3"/>
        <v>113.3980925</v>
      </c>
      <c r="AH18" s="209" t="s">
        <v>77</v>
      </c>
      <c r="AI18" s="210" t="s">
        <v>77</v>
      </c>
      <c r="AJ18" s="210" t="s">
        <v>77</v>
      </c>
      <c r="AK18" s="210" t="s">
        <v>77</v>
      </c>
      <c r="AL18" s="214">
        <f>AC18*$G18</f>
        <v>113.3980925</v>
      </c>
      <c r="AM18" s="210" t="s">
        <v>77</v>
      </c>
      <c r="AN18" s="214">
        <f t="shared" si="4"/>
        <v>11.33980925</v>
      </c>
      <c r="AO18" s="214">
        <f t="shared" si="4"/>
        <v>113.3980925</v>
      </c>
      <c r="AP18" s="204">
        <f t="shared" si="4"/>
        <v>113.3980925</v>
      </c>
      <c r="AQ18" s="125"/>
    </row>
    <row r="19" spans="1:43" ht="52.5" customHeight="1" x14ac:dyDescent="0.25">
      <c r="A19" s="254"/>
      <c r="B19" s="255"/>
      <c r="C19" s="286" t="s">
        <v>78</v>
      </c>
      <c r="D19" s="287"/>
      <c r="E19" s="202">
        <v>1</v>
      </c>
      <c r="F19" s="203">
        <f>$D$4*E19</f>
        <v>11339.80925</v>
      </c>
      <c r="G19" s="202">
        <f>'Release Days and Sites'!O10</f>
        <v>1</v>
      </c>
      <c r="H19" s="204">
        <f>'Release Days and Sites'!H10</f>
        <v>140</v>
      </c>
      <c r="I19" s="256"/>
      <c r="J19" s="207"/>
      <c r="K19" s="207">
        <f>'Releases_Exp. Scen. 5 and 10'!I6</f>
        <v>0.01</v>
      </c>
      <c r="L19" s="202"/>
      <c r="M19" s="207">
        <f>'Releases_Exp. Scen. 5 and 10'!I7</f>
        <v>5.0000000000000001E-3</v>
      </c>
      <c r="N19" s="207">
        <f>'Releases_Exp. Scen. 5 and 10'!I8</f>
        <v>0.01</v>
      </c>
      <c r="O19" s="208">
        <f>'Releases_Exp. Scen. 5 and 10'!I9</f>
        <v>2.5000000000000001E-2</v>
      </c>
      <c r="P19" s="209" t="s">
        <v>77</v>
      </c>
      <c r="Q19" s="210" t="s">
        <v>77</v>
      </c>
      <c r="R19" s="210" t="s">
        <v>77</v>
      </c>
      <c r="S19" s="210" t="s">
        <v>77</v>
      </c>
      <c r="T19" s="317">
        <f>$F19/$G19*K19/$H19</f>
        <v>0.80998637500000004</v>
      </c>
      <c r="U19" s="210" t="s">
        <v>77</v>
      </c>
      <c r="V19" s="211">
        <f t="shared" si="2"/>
        <v>0.40499318750000002</v>
      </c>
      <c r="W19" s="317">
        <f t="shared" si="2"/>
        <v>0.80998637500000004</v>
      </c>
      <c r="X19" s="318">
        <f t="shared" si="2"/>
        <v>2.0249659375000002</v>
      </c>
      <c r="Y19" s="209" t="s">
        <v>77</v>
      </c>
      <c r="Z19" s="210" t="s">
        <v>77</v>
      </c>
      <c r="AA19" s="210" t="s">
        <v>77</v>
      </c>
      <c r="AB19" s="210" t="s">
        <v>77</v>
      </c>
      <c r="AC19" s="214">
        <f>T19*$H19</f>
        <v>113.3980925</v>
      </c>
      <c r="AD19" s="210" t="s">
        <v>77</v>
      </c>
      <c r="AE19" s="214">
        <f t="shared" si="3"/>
        <v>56.699046250000002</v>
      </c>
      <c r="AF19" s="214">
        <f t="shared" si="3"/>
        <v>113.3980925</v>
      </c>
      <c r="AG19" s="204">
        <f t="shared" si="3"/>
        <v>283.49523125000002</v>
      </c>
      <c r="AH19" s="209" t="s">
        <v>77</v>
      </c>
      <c r="AI19" s="210" t="s">
        <v>77</v>
      </c>
      <c r="AJ19" s="210" t="s">
        <v>77</v>
      </c>
      <c r="AK19" s="210" t="s">
        <v>77</v>
      </c>
      <c r="AL19" s="214">
        <f>AC19*$G19</f>
        <v>113.3980925</v>
      </c>
      <c r="AM19" s="210" t="s">
        <v>77</v>
      </c>
      <c r="AN19" s="214">
        <f t="shared" si="4"/>
        <v>56.699046250000002</v>
      </c>
      <c r="AO19" s="214">
        <f t="shared" si="4"/>
        <v>113.3980925</v>
      </c>
      <c r="AP19" s="204">
        <f t="shared" si="4"/>
        <v>283.49523125000002</v>
      </c>
      <c r="AQ19" s="125"/>
    </row>
    <row r="20" spans="1:43" ht="52.5" customHeight="1" thickBot="1" x14ac:dyDescent="0.3">
      <c r="A20" s="269"/>
      <c r="B20" s="270"/>
      <c r="C20" s="295"/>
      <c r="D20" s="296"/>
      <c r="E20" s="221">
        <v>1</v>
      </c>
      <c r="F20" s="222">
        <f>$D$4*E20</f>
        <v>11339.80925</v>
      </c>
      <c r="G20" s="221">
        <f>'Release Days and Sites'!N10</f>
        <v>1</v>
      </c>
      <c r="H20" s="223">
        <f>'Release Days and Sites'!G10</f>
        <v>4</v>
      </c>
      <c r="I20" s="271"/>
      <c r="J20" s="226"/>
      <c r="K20" s="226">
        <f>'Releases_Exp. Scen. 5 and 10'!I6</f>
        <v>0.01</v>
      </c>
      <c r="L20" s="221"/>
      <c r="M20" s="226">
        <f>'Releases_Exp. Scen. 5 and 10'!I7</f>
        <v>5.0000000000000001E-3</v>
      </c>
      <c r="N20" s="226">
        <f>'Releases_Exp. Scen. 5 and 10'!I8</f>
        <v>0.01</v>
      </c>
      <c r="O20" s="227">
        <f>'Releases_Exp. Scen. 5 and 10'!I9</f>
        <v>2.5000000000000001E-2</v>
      </c>
      <c r="P20" s="228" t="s">
        <v>77</v>
      </c>
      <c r="Q20" s="229" t="s">
        <v>77</v>
      </c>
      <c r="R20" s="229" t="s">
        <v>77</v>
      </c>
      <c r="S20" s="229" t="s">
        <v>77</v>
      </c>
      <c r="T20" s="319">
        <f>$F20/$G20*K20/$H20</f>
        <v>28.349523125000001</v>
      </c>
      <c r="U20" s="229" t="s">
        <v>77</v>
      </c>
      <c r="V20" s="230">
        <f t="shared" si="2"/>
        <v>14.174761562500001</v>
      </c>
      <c r="W20" s="319">
        <f t="shared" si="2"/>
        <v>28.349523125000001</v>
      </c>
      <c r="X20" s="320">
        <f t="shared" si="2"/>
        <v>70.873807812500004</v>
      </c>
      <c r="Y20" s="228" t="s">
        <v>77</v>
      </c>
      <c r="Z20" s="229" t="s">
        <v>77</v>
      </c>
      <c r="AA20" s="229" t="s">
        <v>77</v>
      </c>
      <c r="AB20" s="229" t="s">
        <v>77</v>
      </c>
      <c r="AC20" s="233">
        <f>T20*$H20</f>
        <v>113.3980925</v>
      </c>
      <c r="AD20" s="229" t="s">
        <v>77</v>
      </c>
      <c r="AE20" s="233">
        <f t="shared" si="3"/>
        <v>56.699046250000002</v>
      </c>
      <c r="AF20" s="233">
        <f t="shared" si="3"/>
        <v>113.3980925</v>
      </c>
      <c r="AG20" s="223">
        <f t="shared" si="3"/>
        <v>283.49523125000002</v>
      </c>
      <c r="AH20" s="228" t="s">
        <v>77</v>
      </c>
      <c r="AI20" s="229" t="s">
        <v>77</v>
      </c>
      <c r="AJ20" s="229" t="s">
        <v>77</v>
      </c>
      <c r="AK20" s="229" t="s">
        <v>77</v>
      </c>
      <c r="AL20" s="233">
        <f>AC20*$G20</f>
        <v>113.3980925</v>
      </c>
      <c r="AM20" s="229" t="s">
        <v>77</v>
      </c>
      <c r="AN20" s="233">
        <f t="shared" si="4"/>
        <v>56.699046250000002</v>
      </c>
      <c r="AO20" s="233">
        <f t="shared" si="4"/>
        <v>113.3980925</v>
      </c>
      <c r="AP20" s="223">
        <f t="shared" si="4"/>
        <v>283.49523125000002</v>
      </c>
      <c r="AQ20" s="125"/>
    </row>
  </sheetData>
  <sheetProtection algorithmName="SHA-512" hashValue="A7BDFm4XP/2M6PuTU2s+sA7QuTT2T44E+8mHJY+1aZK5kIQ4egGu5dcV61C+BXe5yV0b3yOc0ZkUr5SXCG+M0w==" saltValue="Hbp5NvPogRvuNs/e67TiXA==" spinCount="100000" sheet="1" objects="1" scenarios="1"/>
  <mergeCells count="51">
    <mergeCell ref="P4:X4"/>
    <mergeCell ref="Y4:AG4"/>
    <mergeCell ref="AH4:AP4"/>
    <mergeCell ref="A7:A11"/>
    <mergeCell ref="B7:B11"/>
    <mergeCell ref="C8:C9"/>
    <mergeCell ref="C5:C6"/>
    <mergeCell ref="D8:D11"/>
    <mergeCell ref="C10:C11"/>
    <mergeCell ref="P5:X5"/>
    <mergeCell ref="Y5:AG5"/>
    <mergeCell ref="AH5:AP5"/>
    <mergeCell ref="B3:B4"/>
    <mergeCell ref="A5:B6"/>
    <mergeCell ref="D5:D6"/>
    <mergeCell ref="E5:H5"/>
    <mergeCell ref="Y12:Z12"/>
    <mergeCell ref="AA12:AB12"/>
    <mergeCell ref="AH12:AI12"/>
    <mergeCell ref="AJ12:AK12"/>
    <mergeCell ref="I5:O5"/>
    <mergeCell ref="P12:Q12"/>
    <mergeCell ref="R12:S12"/>
    <mergeCell ref="A16:A20"/>
    <mergeCell ref="B16:B20"/>
    <mergeCell ref="C17:C18"/>
    <mergeCell ref="C19:C20"/>
    <mergeCell ref="D12:D15"/>
    <mergeCell ref="D17:D20"/>
    <mergeCell ref="A12:A15"/>
    <mergeCell ref="B12:B15"/>
    <mergeCell ref="C12:C13"/>
    <mergeCell ref="C14:C15"/>
    <mergeCell ref="AJ15:AK15"/>
    <mergeCell ref="Y14:Z14"/>
    <mergeCell ref="AA14:AB14"/>
    <mergeCell ref="AH14:AI14"/>
    <mergeCell ref="AJ13:AK13"/>
    <mergeCell ref="AJ14:AK14"/>
    <mergeCell ref="Y13:Z13"/>
    <mergeCell ref="AA13:AB13"/>
    <mergeCell ref="AH13:AI13"/>
    <mergeCell ref="Y15:Z15"/>
    <mergeCell ref="AA15:AB15"/>
    <mergeCell ref="AH15:AI15"/>
    <mergeCell ref="P15:Q15"/>
    <mergeCell ref="R15:S15"/>
    <mergeCell ref="P13:Q13"/>
    <mergeCell ref="R13:S13"/>
    <mergeCell ref="P14:Q14"/>
    <mergeCell ref="R14:S14"/>
  </mergeCells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29f62856-1543-49d4-a736-4569d363f533" ContentTypeId="0x0101" PreviousValue="fals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Source xmlns="http://schemas.microsoft.com/sharepoint/v3/fields" xsi:nil="true"/>
    <Language xmlns="http://schemas.microsoft.com/sharepoint/v3">English</Language>
    <_ip_UnifiedCompliancePolicyUIAction xmlns="http://schemas.microsoft.com/sharepoint/v3" xsi:nil="true"/>
    <j747ac98061d40f0aa7bd47e1db5675d xmlns="4ffa91fb-a0ff-4ac5-b2db-65c790d184a4">
      <Terms xmlns="http://schemas.microsoft.com/office/infopath/2007/PartnerControls"/>
    </j747ac98061d40f0aa7bd47e1db5675d>
    <e3f09c3df709400db2417a7161762d62 xmlns="4ffa91fb-a0ff-4ac5-b2db-65c790d184a4">
      <Terms xmlns="http://schemas.microsoft.com/office/infopath/2007/PartnerControls"/>
    </e3f09c3df709400db2417a7161762d62>
    <External_x0020_Contributor xmlns="4ffa91fb-a0ff-4ac5-b2db-65c790d184a4" xsi:nil="true"/>
    <TaxKeywordTaxHTField xmlns="4ffa91fb-a0ff-4ac5-b2db-65c790d184a4">
      <Terms xmlns="http://schemas.microsoft.com/office/infopath/2007/PartnerControls"/>
    </TaxKeywordTaxHTField>
    <Record xmlns="4ffa91fb-a0ff-4ac5-b2db-65c790d184a4">Shared</Record>
    <_ip_UnifiedCompliancePolicyProperties xmlns="http://schemas.microsoft.com/sharepoint/v3" xsi:nil="true"/>
    <Rights xmlns="4ffa91fb-a0ff-4ac5-b2db-65c790d184a4" xsi:nil="true"/>
    <Document_x0020_Creation_x0020_Date xmlns="4ffa91fb-a0ff-4ac5-b2db-65c790d184a4">2020-08-13T13:25:41+00:00</Document_x0020_Creation_x0020_Date>
    <EPA_x0020_Office xmlns="4ffa91fb-a0ff-4ac5-b2db-65c790d184a4" xsi:nil="true"/>
    <CategoryDescription xmlns="http://schemas.microsoft.com/sharepoint.v3" xsi:nil="true"/>
    <Identifier xmlns="4ffa91fb-a0ff-4ac5-b2db-65c790d184a4" xsi:nil="true"/>
    <_Coverage xmlns="http://schemas.microsoft.com/sharepoint/v3/fields" xsi:nil="true"/>
    <Creator xmlns="4ffa91fb-a0ff-4ac5-b2db-65c790d184a4">
      <UserInfo>
        <DisplayName/>
        <AccountId xsi:nil="true"/>
        <AccountType/>
      </UserInfo>
    </Creator>
    <EPA_x0020_Related_x0020_Documents xmlns="4ffa91fb-a0ff-4ac5-b2db-65c790d184a4" xsi:nil="true"/>
    <EPA_x0020_Contributor xmlns="4ffa91fb-a0ff-4ac5-b2db-65c790d184a4">
      <UserInfo>
        <DisplayName/>
        <AccountId xsi:nil="true"/>
        <AccountType/>
      </UserInfo>
    </EPA_x0020_Contributor>
    <TaxCatchAll xmlns="4ffa91fb-a0ff-4ac5-b2db-65c790d184a4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C985675EC85304EB744BDECE6CB534B" ma:contentTypeVersion="32" ma:contentTypeDescription="Create a new document." ma:contentTypeScope="" ma:versionID="9eccc7d37c3a2347a68176302a40a015">
  <xsd:schema xmlns:xsd="http://www.w3.org/2001/XMLSchema" xmlns:xs="http://www.w3.org/2001/XMLSchema" xmlns:p="http://schemas.microsoft.com/office/2006/metadata/properties" xmlns:ns1="http://schemas.microsoft.com/sharepoint/v3" xmlns:ns2="4ffa91fb-a0ff-4ac5-b2db-65c790d184a4" xmlns:ns3="http://schemas.microsoft.com/sharepoint.v3" xmlns:ns4="http://schemas.microsoft.com/sharepoint/v3/fields" xmlns:ns5="4daff301-d14f-4285-8ffc-de1fdd8f5eaf" xmlns:ns6="83301ba7-9f61-456e-8907-29acff73811e" targetNamespace="http://schemas.microsoft.com/office/2006/metadata/properties" ma:root="true" ma:fieldsID="1b1fd1a8a8465f10e1995a2f80ebd774" ns1:_="" ns2:_="" ns3:_="" ns4:_="" ns5:_="" ns6:_="">
    <xsd:import namespace="http://schemas.microsoft.com/sharepoint/v3"/>
    <xsd:import namespace="4ffa91fb-a0ff-4ac5-b2db-65c790d184a4"/>
    <xsd:import namespace="http://schemas.microsoft.com/sharepoint.v3"/>
    <xsd:import namespace="http://schemas.microsoft.com/sharepoint/v3/fields"/>
    <xsd:import namespace="4daff301-d14f-4285-8ffc-de1fdd8f5eaf"/>
    <xsd:import namespace="83301ba7-9f61-456e-8907-29acff73811e"/>
    <xsd:element name="properties">
      <xsd:complexType>
        <xsd:sequence>
          <xsd:element name="documentManagement">
            <xsd:complexType>
              <xsd:all>
                <xsd:element ref="ns2:Document_x0020_Creation_x0020_Date" minOccurs="0"/>
                <xsd:element ref="ns2:Creator" minOccurs="0"/>
                <xsd:element ref="ns2:EPA_x0020_Office" minOccurs="0"/>
                <xsd:element ref="ns2:Record" minOccurs="0"/>
                <xsd:element ref="ns3:CategoryDescription" minOccurs="0"/>
                <xsd:element ref="ns2:Identifier" minOccurs="0"/>
                <xsd:element ref="ns2:EPA_x0020_Contributor" minOccurs="0"/>
                <xsd:element ref="ns2:External_x0020_Contributor" minOccurs="0"/>
                <xsd:element ref="ns4:_Coverage" minOccurs="0"/>
                <xsd:element ref="ns2:EPA_x0020_Related_x0020_Documents" minOccurs="0"/>
                <xsd:element ref="ns4:_Source" minOccurs="0"/>
                <xsd:element ref="ns2:Rights" minOccurs="0"/>
                <xsd:element ref="ns1:Language" minOccurs="0"/>
                <xsd:element ref="ns2:j747ac98061d40f0aa7bd47e1db5675d" minOccurs="0"/>
                <xsd:element ref="ns2:TaxKeywordTaxHTField" minOccurs="0"/>
                <xsd:element ref="ns2:TaxCatchAllLabel" minOccurs="0"/>
                <xsd:element ref="ns2:TaxCatchAll" minOccurs="0"/>
                <xsd:element ref="ns2:e3f09c3df709400db2417a7161762d62" minOccurs="0"/>
                <xsd:element ref="ns5:SharedWithUsers" minOccurs="0"/>
                <xsd:element ref="ns5:SharingHintHash" minOccurs="0"/>
                <xsd:element ref="ns5:SharedWithDetails" minOccurs="0"/>
                <xsd:element ref="ns6:MediaServiceMetadata" minOccurs="0"/>
                <xsd:element ref="ns6:MediaServiceFastMetadata" minOccurs="0"/>
                <xsd:element ref="ns6:MediaServiceEventHashCode" minOccurs="0"/>
                <xsd:element ref="ns6:MediaServiceGenerationTime" minOccurs="0"/>
                <xsd:element ref="ns6:MediaServiceAutoTags" minOccurs="0"/>
                <xsd:element ref="ns6:MediaServiceOCR" minOccurs="0"/>
                <xsd:element ref="ns6:MediaServiceAutoKeyPoints" minOccurs="0"/>
                <xsd:element ref="ns6:MediaServiceKeyPoint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Language" ma:index="17" nillable="true" ma:displayName="Language" ma:default="English" ma:description="Select the document language from the drop down." ma:format="Dropdown" ma:internalName="Language" ma:readOnly="false">
      <xsd:simpleType>
        <xsd:restriction base="dms:Choice">
          <xsd:enumeration value="Arabic (Saudi Arabia)"/>
          <xsd:enumeration value="Bulgarian (Bulgaria)"/>
          <xsd:enumeration value="Chinese (Hong Kong S.A.R.)"/>
          <xsd:enumeration value="Chinese (People's Republic of China)"/>
          <xsd:enumeration value="Chinese (Taiwan)"/>
          <xsd:enumeration value="Croatian (Croatia)"/>
          <xsd:enumeration value="Czech (Czech Republic)"/>
          <xsd:enumeration value="Danish (Denmark)"/>
          <xsd:enumeration value="Dutch (Netherlands)"/>
          <xsd:enumeration value="English"/>
          <xsd:enumeration value="Estonian (Estonia)"/>
          <xsd:enumeration value="Finnish (Finland)"/>
          <xsd:enumeration value="French (France)"/>
          <xsd:enumeration value="German (Germany)"/>
          <xsd:enumeration value="Greek (Greece)"/>
          <xsd:enumeration value="Hebrew (Israel)"/>
          <xsd:enumeration value="Hindi (India)"/>
          <xsd:enumeration value="Hungarian (Hungary)"/>
          <xsd:enumeration value="Indonesian (Indonesia)"/>
          <xsd:enumeration value="Italian (Italy)"/>
          <xsd:enumeration value="Japanese (Japan)"/>
          <xsd:enumeration value="Korean (Korea)"/>
          <xsd:enumeration value="Latvian (Latvia)"/>
          <xsd:enumeration value="Lithuanian (Lithuania)"/>
          <xsd:enumeration value="Malay (Malaysia)"/>
          <xsd:enumeration value="Norwegian (Bokmal) (Norway)"/>
          <xsd:enumeration value="Polish (Poland)"/>
          <xsd:enumeration value="Portuguese (Brazil)"/>
          <xsd:enumeration value="Portuguese (Portugal)"/>
          <xsd:enumeration value="Romanian (Romania)"/>
          <xsd:enumeration value="Russian (Russia)"/>
          <xsd:enumeration value="Serbian (Latin) (Serbia)"/>
          <xsd:enumeration value="Slovak (Slovakia)"/>
          <xsd:enumeration value="Slovenian (Slovenia)"/>
          <xsd:enumeration value="Spanish (Spain)"/>
          <xsd:enumeration value="Swedish (Sweden)"/>
          <xsd:enumeration value="Thai (Thailand)"/>
          <xsd:enumeration value="Turkish (Turkey)"/>
          <xsd:enumeration value="Ukrainian (Ukraine)"/>
          <xsd:enumeration value="Urdu (Islamic Republic of Pakistan)"/>
          <xsd:enumeration value="Vietnamese (Vietnam)"/>
        </xsd:restriction>
      </xsd:simpleType>
    </xsd:element>
    <xsd:element name="_ip_UnifiedCompliancePolicyProperties" ma:index="41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42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fa91fb-a0ff-4ac5-b2db-65c790d184a4" elementFormDefault="qualified">
    <xsd:import namespace="http://schemas.microsoft.com/office/2006/documentManagement/types"/>
    <xsd:import namespace="http://schemas.microsoft.com/office/infopath/2007/PartnerControls"/>
    <xsd:element name="Document_x0020_Creation_x0020_Date" ma:index="2" nillable="true" ma:displayName="Document Date" ma:default="[today]" ma:description="Enter the date this document was last modified. The upload date has been entered by default." ma:format="DateOnly" ma:internalName="Document_x0020_Creation_x0020_Date" ma:readOnly="false">
      <xsd:simpleType>
        <xsd:restriction base="dms:DateTime"/>
      </xsd:simpleType>
    </xsd:element>
    <xsd:element name="Creator" ma:index="3" nillable="true" ma:displayName="Creator" ma:description="Enter the person primarily responsible for the document. The name of the person uploading the document has been entered by default." ma:list="UserInfo" ma:SharePointGroup="0" ma:internalName="Creato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PA_x0020_Office" ma:index="4" nillable="true" ma:displayName="EPA Office" ma:description="Enter the EPA organization primarily responsible for the document. The office of the person uploading the document has been entered by default." ma:internalName="EPA_x0020_Office">
      <xsd:simpleType>
        <xsd:restriction base="dms:Text">
          <xsd:maxLength value="255"/>
        </xsd:restriction>
      </xsd:simpleType>
    </xsd:element>
    <xsd:element name="Record" ma:index="5" nillable="true" ma:displayName="Record" ma:default="Shared" ma:description="For documents that provide evidence of EPA decisions and actions, select &quot;Shared&quot; (open access) or &quot;Private&quot; (restricted access)." ma:format="Dropdown" ma:internalName="Record">
      <xsd:simpleType>
        <xsd:restriction base="dms:Choice">
          <xsd:enumeration value="None"/>
          <xsd:enumeration value="Shared"/>
          <xsd:enumeration value="Private"/>
        </xsd:restriction>
      </xsd:simpleType>
    </xsd:element>
    <xsd:element name="Identifier" ma:index="9" nillable="true" ma:displayName="Identifier" ma:description="Enter all EPA identification numbers applicable to this document, one on each line." ma:internalName="Identifier" ma:readOnly="false">
      <xsd:simpleType>
        <xsd:restriction base="dms:Note">
          <xsd:maxLength value="255"/>
        </xsd:restriction>
      </xsd:simpleType>
    </xsd:element>
    <xsd:element name="EPA_x0020_Contributor" ma:index="11" nillable="true" ma:displayName="EPA Contributor" ma:description="Enter an EPA person who contributed to the creation of the document but is not the primary author." ma:list="UserInfo" ma:SharePointGroup="0" ma:internalName="EPA_x0020_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xternal_x0020_Contributor" ma:index="12" nillable="true" ma:displayName="External Contributor" ma:description="Enter a non-EPA person who contributed to the creation of the document but is not the primary author." ma:internalName="External_x0020_Contributor" ma:readOnly="false">
      <xsd:simpleType>
        <xsd:restriction base="dms:Note">
          <xsd:maxLength value="255"/>
        </xsd:restriction>
      </xsd:simpleType>
    </xsd:element>
    <xsd:element name="EPA_x0020_Related_x0020_Documents" ma:index="14" nillable="true" ma:displayName="Other Related Documents" ma:description="Enter any related document." ma:internalName="EPA_x0020_Related_x0020_Documents">
      <xsd:simpleType>
        <xsd:restriction base="dms:Note">
          <xsd:maxLength value="255"/>
        </xsd:restriction>
      </xsd:simpleType>
    </xsd:element>
    <xsd:element name="Rights" ma:index="16" nillable="true" ma:displayName="Rights" ma:description="Enter information about intellectual property rights held over the document (e.g. copyright, patent, trademark)." ma:internalName="Rights" ma:readOnly="false">
      <xsd:simpleType>
        <xsd:restriction base="dms:Note">
          <xsd:maxLength value="255"/>
        </xsd:restriction>
      </xsd:simpleType>
    </xsd:element>
    <xsd:element name="j747ac98061d40f0aa7bd47e1db5675d" ma:index="19" nillable="true" ma:taxonomy="true" ma:internalName="j747ac98061d40f0aa7bd47e1db5675d" ma:taxonomyFieldName="Document_x0020_Type" ma:displayName="Document Type" ma:readOnly="false" ma:default="" ma:fieldId="{3747ac98-061d-40f0-aa7b-d47e1db5675d}" ma:sspId="29f62856-1543-49d4-a736-4569d363f533" ma:termSetId="e06cd6a9-a175-4da0-81cb-8dba7aa394a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KeywordTaxHTField" ma:index="21" nillable="true" ma:taxonomy="true" ma:internalName="TaxKeywordTaxHTField" ma:taxonomyFieldName="TaxKeyword" ma:displayName="Enterprise Keywords" ma:readOnly="false" ma:fieldId="{23f27201-bee3-471e-b2e7-b64fd8b7ca38}" ma:taxonomyMulti="true" ma:sspId="29f62856-1543-49d4-a736-4569d363f533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Label" ma:index="23" nillable="true" ma:displayName="Taxonomy Catch All Column1" ma:hidden="true" ma:list="{160cad11-562a-4490-8456-b2fd6f157897}" ma:internalName="TaxCatchAllLabel" ma:readOnly="true" ma:showField="CatchAllDataLabel" ma:web="fecc2597-e8fd-4279-ac06-bd7c891938b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24" nillable="true" ma:displayName="Taxonomy Catch All Column" ma:hidden="true" ma:list="{160cad11-562a-4490-8456-b2fd6f157897}" ma:internalName="TaxCatchAll" ma:showField="CatchAllData" ma:web="fecc2597-e8fd-4279-ac06-bd7c891938b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3f09c3df709400db2417a7161762d62" ma:index="28" nillable="true" ma:taxonomy="true" ma:internalName="e3f09c3df709400db2417a7161762d62" ma:taxonomyFieldName="EPA_x0020_Subject" ma:displayName="EPA Subject" ma:readOnly="false" ma:default="" ma:fieldId="{e3f09c3d-f709-400d-b241-7a7161762d62}" ma:taxonomyMulti="true" ma:sspId="29f62856-1543-49d4-a736-4569d363f533" ma:termSetId="7a3d4ae0-7e62-45a2-a406-c6a8a6a8eee3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.v3" elementFormDefault="qualified">
    <xsd:import namespace="http://schemas.microsoft.com/office/2006/documentManagement/types"/>
    <xsd:import namespace="http://schemas.microsoft.com/office/infopath/2007/PartnerControls"/>
    <xsd:element name="CategoryDescription" ma:index="6" nillable="true" ma:displayName="Description" ma:description="Enter a brief description." ma:internalName="CategoryDescription" ma:readOnly="fal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Coverage" ma:index="13" nillable="true" ma:displayName="Coverage" ma:description="Enter the geographic location, jurisdiction, or time period for which the document is relevant." ma:internalName="_Coverage" ma:readOnly="false">
      <xsd:simpleType>
        <xsd:restriction base="dms:Text">
          <xsd:maxLength value="255"/>
        </xsd:restriction>
      </xsd:simpleType>
    </xsd:element>
    <xsd:element name="_Source" ma:index="15" nillable="true" ma:displayName="Source" ma:description="Enter a source from which the document is derived." ma:internalName="_Source" ma:readOnly="fal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aff301-d14f-4285-8ffc-de1fdd8f5eaf" elementFormDefault="qualified">
    <xsd:import namespace="http://schemas.microsoft.com/office/2006/documentManagement/types"/>
    <xsd:import namespace="http://schemas.microsoft.com/office/infopath/2007/PartnerControls"/>
    <xsd:element name="SharedWithUsers" ma:index="2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30" nillable="true" ma:displayName="Sharing Hint Hash" ma:internalName="SharingHintHash" ma:readOnly="true">
      <xsd:simpleType>
        <xsd:restriction base="dms:Text"/>
      </xsd:simpleType>
    </xsd:element>
    <xsd:element name="SharedWithDetails" ma:index="32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301ba7-9f61-456e-8907-29acff73811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3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3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3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3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Tags" ma:index="37" nillable="true" ma:displayName="Tags" ma:internalName="MediaServiceAutoTags" ma:readOnly="true">
      <xsd:simpleType>
        <xsd:restriction base="dms:Text"/>
      </xsd:simpleType>
    </xsd:element>
    <xsd:element name="MediaServiceOCR" ma:index="3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3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4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6AD1DB0-FE86-443C-97EC-1A37BD531F70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B78821FD-1E49-492F-B026-9C80C65B4FC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7446A44-B571-4C65-A623-9A2FE06FDFD1}">
  <ds:schemaRefs>
    <ds:schemaRef ds:uri="4daff301-d14f-4285-8ffc-de1fdd8f5eaf"/>
    <ds:schemaRef ds:uri="http://purl.org/dc/terms/"/>
    <ds:schemaRef ds:uri="http://schemas.openxmlformats.org/package/2006/metadata/core-properties"/>
    <ds:schemaRef ds:uri="83301ba7-9f61-456e-8907-29acff73811e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/fields"/>
    <ds:schemaRef ds:uri="http://schemas.microsoft.com/sharepoint.v3"/>
    <ds:schemaRef ds:uri="http://schemas.microsoft.com/sharepoint/v3"/>
    <ds:schemaRef ds:uri="4ffa91fb-a0ff-4ac5-b2db-65c790d184a4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DAC53715-4E70-4D9A-9084-33BC4C59FBC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ffa91fb-a0ff-4ac5-b2db-65c790d184a4"/>
    <ds:schemaRef ds:uri="http://schemas.microsoft.com/sharepoint.v3"/>
    <ds:schemaRef ds:uri="http://schemas.microsoft.com/sharepoint/v3/fields"/>
    <ds:schemaRef ds:uri="4daff301-d14f-4285-8ffc-de1fdd8f5eaf"/>
    <ds:schemaRef ds:uri="83301ba7-9f61-456e-8907-29acff73811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27</vt:i4>
      </vt:variant>
    </vt:vector>
  </HeadingPairs>
  <TitlesOfParts>
    <vt:vector size="27" baseType="lpstr">
      <vt:lpstr>Cover Page</vt:lpstr>
      <vt:lpstr>Table of Contents</vt:lpstr>
      <vt:lpstr>Exposure Scenario (Exp. Scen.)</vt:lpstr>
      <vt:lpstr>Release Calculations - 100k lbs</vt:lpstr>
      <vt:lpstr>Release Results 100k lbs</vt:lpstr>
      <vt:lpstr>Releases_SummaryInput Variables</vt:lpstr>
      <vt:lpstr>Release Calculations - 50k lbs</vt:lpstr>
      <vt:lpstr>Release Results 50k lbs</vt:lpstr>
      <vt:lpstr>Release Calculations - 25k lbs</vt:lpstr>
      <vt:lpstr>Release Results 25k lbs</vt:lpstr>
      <vt:lpstr>Release Days and Sites</vt:lpstr>
      <vt:lpstr>Releases_Exp. Scen. 1</vt:lpstr>
      <vt:lpstr>Releases_Exp. Scen. 2</vt:lpstr>
      <vt:lpstr>Releases_Exp. Scen. 3</vt:lpstr>
      <vt:lpstr>Releases_Exp. Scen. 4_EURAR</vt:lpstr>
      <vt:lpstr>Releases_Exp. Scen. 4_TRI</vt:lpstr>
      <vt:lpstr>Releases_Exp. Scen. 5 and 10</vt:lpstr>
      <vt:lpstr>Releases_Exp. Scen. 6 and 8</vt:lpstr>
      <vt:lpstr>Releases_OES9 Service Life</vt:lpstr>
      <vt:lpstr>Releases_Exp. Scen. 9</vt:lpstr>
      <vt:lpstr>Releases_Exp. Scen. 11</vt:lpstr>
      <vt:lpstr>Releases_OES13 Coatings App</vt:lpstr>
      <vt:lpstr>Releases_Exp. Scen. 12</vt:lpstr>
      <vt:lpstr>Releases_Exp. Scen. 13</vt:lpstr>
      <vt:lpstr>Exp. Scen. 8_No. of Sites</vt:lpstr>
      <vt:lpstr>Inhalation Table_Service Life</vt:lpstr>
      <vt:lpstr>Inhalation_OES13 Coatings App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HBCD Supplemental File Occupational Exposure and Environmental Release Calculations</dc:title>
  <dc:subject/>
  <dc:creator/>
  <cp:keywords/>
  <dc:description/>
  <cp:lastModifiedBy/>
  <cp:revision>1</cp:revision>
  <dcterms:created xsi:type="dcterms:W3CDTF">2020-08-13T12:27:17Z</dcterms:created>
  <dcterms:modified xsi:type="dcterms:W3CDTF">2020-09-08T12:52:36Z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0x0101006C985675EC85304EB744BDECE6CB534B</vt:lpwstr>
  </property>
  <property fmtid="{D5CDD505-2E9C-101B-9397-08002B2CF9AE}" pid="3" name="TaxKeyword">
    <vt:lpwstr/>
  </property>
  <property fmtid="{D5CDD505-2E9C-101B-9397-08002B2CF9AE}" pid="4" name="EPA Subject">
    <vt:lpwstr/>
  </property>
  <property fmtid="{D5CDD505-2E9C-101B-9397-08002B2CF9AE}" pid="5" name="Document Type">
    <vt:lpwstr/>
  </property>
</Properties>
</file>