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usepa.sharepoint.com/sites/ocspp_Work/wpc/TCE/Shared Documents/1 Risk Evaluation Document/Supplemental documents/"/>
    </mc:Choice>
  </mc:AlternateContent>
  <xr:revisionPtr revIDLastSave="71" documentId="8_{B658FB8A-B167-4C72-82EF-D3E80959DA76}" xr6:coauthVersionLast="45" xr6:coauthVersionMax="45" xr10:uidLastSave="{293B43E6-BAF3-4B1C-B525-8547BFBBDF39}"/>
  <bookViews>
    <workbookView xWindow="-120" yWindow="-16320" windowWidth="29040" windowHeight="15990" tabRatio="679" firstSheet="1" activeTab="4" xr2:uid="{00000000-000D-0000-FFFF-FFFF00000000}"/>
  </bookViews>
  <sheets>
    <sheet name="Cover Page" sheetId="47" r:id="rId1"/>
    <sheet name="Table of Contents" sheetId="46" r:id="rId2"/>
    <sheet name="ReadMe" sheetId="43" r:id="rId3"/>
    <sheet name="Dashboard" sheetId="31" r:id="rId4"/>
    <sheet name="RR" sheetId="40" r:id="rId5"/>
    <sheet name="RR &lt;PEL" sheetId="44" r:id="rId6"/>
    <sheet name="Health Data" sheetId="39" r:id="rId7"/>
    <sheet name="Dermal Crosswalk" sheetId="42" r:id="rId8"/>
    <sheet name="Dermal Exposure" sheetId="41" r:id="rId9"/>
    <sheet name="Inhalation Exposure" sheetId="37" r:id="rId10"/>
    <sheet name="Inhalation &lt; PEL" sheetId="45" r:id="rId11"/>
    <sheet name="List Values" sheetId="35" r:id="rId12"/>
    <sheet name="Exposure Factors" sheetId="38" r:id="rId1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15</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0" hidden="1">'Inhalation &lt; PEL'!$B$6:$V$6</definedName>
    <definedName name="_xlnm._FilterDatabase" localSheetId="9" hidden="1">'Inhalation Exposure'!$B$3:$V$3</definedName>
    <definedName name="_xlnm._FilterDatabase" localSheetId="11" hidden="1">'List Values'!$B$1:$B$22</definedName>
    <definedName name="AT">'List Values'!$H$17</definedName>
    <definedName name="AT_ADC_high">'List Values'!$H$23</definedName>
    <definedName name="AT_ADC_mid">'List Values'!$H$22</definedName>
    <definedName name="AT_LADC">'List Values'!$H$24</definedName>
    <definedName name="ED_12">'List Values'!$H$16</definedName>
    <definedName name="ED_8">'List Values'!$H$15</definedName>
    <definedName name="EF">'List Values'!$H$18</definedName>
    <definedName name="LT">'List Values'!$H$21</definedName>
    <definedName name="Mol_Vol">'List Values'!$G$12</definedName>
    <definedName name="MW">'List Values'!$G$11</definedName>
    <definedName name="Pal_Workbook_GUID" hidden="1">"QFFA8IQU6YFGRFCXE7L4LIWR"</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4" hidden="1">RR!$AA$36</definedName>
    <definedName name="solver_adj" localSheetId="5" hidden="1">'RR &lt;PEL'!$AA$36</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RR!$AB$36</definedName>
    <definedName name="solver_opt" localSheetId="5" hidden="1">'RR &lt;PEL'!$AB$36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1</definedName>
    <definedName name="solver_val" localSheetId="5" hidden="1">1</definedName>
    <definedName name="solver_ver" localSheetId="4" hidden="1">3</definedName>
    <definedName name="solver_ver" localSheetId="5" hidden="1">3</definedName>
    <definedName name="WY_high">'List Values'!$H$20</definedName>
    <definedName name="WY_mid">'List Values'!$H$19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5" i="45" l="1"/>
  <c r="M48" i="45" l="1"/>
  <c r="L48" i="45"/>
  <c r="M47" i="45"/>
  <c r="L47" i="45"/>
  <c r="Q8" i="45"/>
  <c r="Q9" i="45"/>
  <c r="Q10" i="45"/>
  <c r="Q11" i="45"/>
  <c r="Q12" i="45"/>
  <c r="Q13" i="45"/>
  <c r="Q14" i="45"/>
  <c r="Q15" i="45"/>
  <c r="Q16" i="45"/>
  <c r="Q17" i="45"/>
  <c r="Q18" i="45"/>
  <c r="Q19" i="45"/>
  <c r="Q20" i="45"/>
  <c r="Q21" i="45"/>
  <c r="Q22" i="45"/>
  <c r="Q23" i="45"/>
  <c r="Q24" i="45"/>
  <c r="Q25" i="45"/>
  <c r="Q26" i="45"/>
  <c r="Q28" i="45"/>
  <c r="Q29" i="45"/>
  <c r="Q30" i="45"/>
  <c r="Q31" i="45"/>
  <c r="Q32" i="45"/>
  <c r="Q33" i="45"/>
  <c r="Q34" i="45"/>
  <c r="Q35" i="45"/>
  <c r="Q27" i="45"/>
  <c r="Q36" i="45"/>
  <c r="Q37" i="45"/>
  <c r="Q38" i="45"/>
  <c r="Q39" i="45"/>
  <c r="Q40" i="45"/>
  <c r="Q41" i="45"/>
  <c r="Q42" i="45"/>
  <c r="Q43" i="45"/>
  <c r="Q44" i="45"/>
  <c r="Q49" i="45"/>
  <c r="Q50" i="45"/>
  <c r="Q7" i="45"/>
  <c r="M46" i="45"/>
  <c r="L46" i="45"/>
  <c r="M45" i="45"/>
  <c r="M43" i="37"/>
  <c r="L43" i="37"/>
  <c r="M42" i="37"/>
  <c r="L42" i="37"/>
  <c r="U55" i="44" l="1"/>
  <c r="U54" i="44"/>
  <c r="U31" i="44"/>
  <c r="U30" i="44"/>
  <c r="M54" i="31"/>
  <c r="M26" i="31"/>
  <c r="M24" i="31"/>
  <c r="U55" i="40"/>
  <c r="U54" i="40"/>
  <c r="U31" i="40"/>
  <c r="U30" i="40"/>
  <c r="O26" i="31"/>
  <c r="F26" i="31"/>
  <c r="F54" i="31"/>
  <c r="O54" i="31"/>
  <c r="O55" i="31"/>
  <c r="O27" i="31"/>
  <c r="P22" i="45"/>
  <c r="M50" i="45"/>
  <c r="L50" i="45"/>
  <c r="M49" i="45"/>
  <c r="L49" i="45"/>
  <c r="M44" i="45"/>
  <c r="L44" i="45"/>
  <c r="M43" i="45"/>
  <c r="L43" i="45"/>
  <c r="M42" i="45"/>
  <c r="L42" i="45"/>
  <c r="M41" i="45"/>
  <c r="L41" i="45"/>
  <c r="M40" i="45"/>
  <c r="L40" i="45"/>
  <c r="M39" i="45"/>
  <c r="L39" i="45"/>
  <c r="M38" i="45"/>
  <c r="L38" i="45"/>
  <c r="M37" i="45"/>
  <c r="L37" i="45"/>
  <c r="M36" i="45"/>
  <c r="L36" i="45"/>
  <c r="M27" i="45"/>
  <c r="L27" i="45"/>
  <c r="M35" i="45"/>
  <c r="L35" i="45"/>
  <c r="M34" i="45"/>
  <c r="L34" i="45"/>
  <c r="M33" i="45"/>
  <c r="L33" i="45"/>
  <c r="M32" i="45"/>
  <c r="L32" i="45"/>
  <c r="M31" i="45"/>
  <c r="L31" i="45"/>
  <c r="M30" i="45"/>
  <c r="L30" i="45"/>
  <c r="M29" i="45"/>
  <c r="L29" i="45"/>
  <c r="M28" i="45"/>
  <c r="L28" i="45"/>
  <c r="M26" i="45"/>
  <c r="L26" i="45"/>
  <c r="M25" i="45"/>
  <c r="L25" i="45"/>
  <c r="M24" i="45"/>
  <c r="L24" i="45"/>
  <c r="M23" i="45"/>
  <c r="L23" i="45"/>
  <c r="M22" i="45"/>
  <c r="L22" i="45"/>
  <c r="M21" i="45"/>
  <c r="L21" i="45"/>
  <c r="M20" i="45"/>
  <c r="L20" i="45"/>
  <c r="M19" i="45"/>
  <c r="L19" i="45"/>
  <c r="M18" i="45"/>
  <c r="L18" i="45"/>
  <c r="M17" i="45"/>
  <c r="L17" i="45"/>
  <c r="M16" i="45"/>
  <c r="L16" i="45"/>
  <c r="M15" i="45"/>
  <c r="L15" i="45"/>
  <c r="M14" i="45"/>
  <c r="L14" i="45"/>
  <c r="M13" i="45"/>
  <c r="L13" i="45"/>
  <c r="M12" i="45"/>
  <c r="L12" i="45"/>
  <c r="M11" i="45"/>
  <c r="L11" i="45"/>
  <c r="M10" i="45"/>
  <c r="L10" i="45"/>
  <c r="M9" i="45"/>
  <c r="L9" i="45"/>
  <c r="M8" i="45"/>
  <c r="L8" i="45"/>
  <c r="M7" i="45"/>
  <c r="L7" i="45"/>
  <c r="M4" i="37"/>
  <c r="M5" i="37"/>
  <c r="M6" i="37"/>
  <c r="M7" i="37"/>
  <c r="M8" i="37"/>
  <c r="M9" i="37"/>
  <c r="M10" i="37"/>
  <c r="M11" i="37"/>
  <c r="M12" i="37"/>
  <c r="M13" i="37"/>
  <c r="M14" i="37"/>
  <c r="M15" i="37"/>
  <c r="M16" i="37"/>
  <c r="M17" i="37"/>
  <c r="M18" i="37"/>
  <c r="M19" i="37"/>
  <c r="M21" i="37"/>
  <c r="M25" i="37"/>
  <c r="M22" i="37"/>
  <c r="M23" i="37"/>
  <c r="M27" i="37"/>
  <c r="M26" i="37"/>
  <c r="M20" i="37"/>
  <c r="M28" i="37"/>
  <c r="M29" i="37"/>
  <c r="M30" i="37"/>
  <c r="M31" i="37"/>
  <c r="M32" i="37"/>
  <c r="M24" i="37"/>
  <c r="M33" i="37"/>
  <c r="M34" i="37"/>
  <c r="M35" i="37"/>
  <c r="M36" i="37"/>
  <c r="M37" i="37"/>
  <c r="M38" i="37"/>
  <c r="M39" i="37"/>
  <c r="M40" i="37"/>
  <c r="M41" i="37"/>
  <c r="M44" i="37"/>
  <c r="M46" i="37"/>
  <c r="M47" i="37"/>
  <c r="L4" i="37"/>
  <c r="L5" i="37"/>
  <c r="L6" i="37"/>
  <c r="L7" i="37"/>
  <c r="L8" i="37"/>
  <c r="L9" i="37"/>
  <c r="L10" i="37"/>
  <c r="L11" i="37"/>
  <c r="L12" i="37"/>
  <c r="L13" i="37"/>
  <c r="L14" i="37"/>
  <c r="L15" i="37"/>
  <c r="L16" i="37"/>
  <c r="L17" i="37"/>
  <c r="L18" i="37"/>
  <c r="L19" i="37"/>
  <c r="L21" i="37"/>
  <c r="L25" i="37"/>
  <c r="L22" i="37"/>
  <c r="L23" i="37"/>
  <c r="L27" i="37"/>
  <c r="L26" i="37"/>
  <c r="L20" i="37"/>
  <c r="L28" i="37"/>
  <c r="L29" i="37"/>
  <c r="L30" i="37"/>
  <c r="L31" i="37"/>
  <c r="L32" i="37"/>
  <c r="L24" i="37"/>
  <c r="L33" i="37"/>
  <c r="L34" i="37"/>
  <c r="L35" i="37"/>
  <c r="L36" i="37"/>
  <c r="G10" i="31" s="1"/>
  <c r="L37" i="37"/>
  <c r="L38" i="37"/>
  <c r="L39" i="37"/>
  <c r="L40" i="37"/>
  <c r="L41" i="37"/>
  <c r="L45" i="37"/>
  <c r="L46" i="37"/>
  <c r="L47" i="37"/>
  <c r="M45" i="37"/>
  <c r="L44" i="37"/>
  <c r="J55" i="44" l="1"/>
  <c r="J54" i="44"/>
  <c r="J31" i="44"/>
  <c r="J30" i="44"/>
  <c r="J31" i="40"/>
  <c r="J30" i="40"/>
  <c r="J55" i="40"/>
  <c r="J54" i="40"/>
  <c r="F27" i="31"/>
  <c r="F55" i="31"/>
  <c r="D54" i="31"/>
  <c r="D26" i="31"/>
  <c r="G26" i="31" s="1"/>
  <c r="D18" i="31"/>
  <c r="G13" i="31" l="1"/>
  <c r="J27" i="31" s="1"/>
  <c r="G12" i="31"/>
  <c r="I27" i="31" s="1"/>
  <c r="G11" i="31"/>
  <c r="H26" i="31" s="1"/>
  <c r="K50" i="45"/>
  <c r="J50" i="45"/>
  <c r="K49" i="45"/>
  <c r="J49" i="45"/>
  <c r="K44" i="45"/>
  <c r="J44" i="45"/>
  <c r="K43" i="45"/>
  <c r="J43" i="45"/>
  <c r="K42" i="45"/>
  <c r="J42" i="45"/>
  <c r="K41" i="45"/>
  <c r="J41" i="45"/>
  <c r="K40" i="45"/>
  <c r="J40" i="45"/>
  <c r="K39" i="45"/>
  <c r="J39" i="45"/>
  <c r="K38" i="45"/>
  <c r="J38" i="45"/>
  <c r="K37" i="45"/>
  <c r="J37" i="45"/>
  <c r="K36" i="45"/>
  <c r="J36" i="45"/>
  <c r="K27" i="45"/>
  <c r="J27" i="45"/>
  <c r="K35" i="45"/>
  <c r="J35" i="45"/>
  <c r="R35" i="45" s="1"/>
  <c r="K34" i="45"/>
  <c r="J34" i="45"/>
  <c r="R34" i="45" s="1"/>
  <c r="K33" i="45"/>
  <c r="J33" i="45"/>
  <c r="K32" i="45"/>
  <c r="J32" i="45"/>
  <c r="K31" i="45"/>
  <c r="J31" i="45"/>
  <c r="K30" i="45"/>
  <c r="J30" i="45"/>
  <c r="K29" i="45"/>
  <c r="J29" i="45"/>
  <c r="K28" i="45"/>
  <c r="J28" i="45"/>
  <c r="K26" i="45"/>
  <c r="J26" i="45"/>
  <c r="K25" i="45"/>
  <c r="J25" i="45"/>
  <c r="K24" i="45"/>
  <c r="J24" i="45"/>
  <c r="K23" i="45"/>
  <c r="J23" i="45"/>
  <c r="K22" i="45"/>
  <c r="J22" i="45"/>
  <c r="K21" i="45"/>
  <c r="J21" i="45"/>
  <c r="K20" i="45"/>
  <c r="J20" i="45"/>
  <c r="K19" i="45"/>
  <c r="J19" i="45"/>
  <c r="K18" i="45"/>
  <c r="J18" i="45"/>
  <c r="K17" i="45"/>
  <c r="J17" i="45"/>
  <c r="K16" i="45"/>
  <c r="J16" i="45"/>
  <c r="K15" i="45"/>
  <c r="J15" i="45"/>
  <c r="K14" i="45"/>
  <c r="J14" i="45"/>
  <c r="K13" i="45"/>
  <c r="J13" i="45"/>
  <c r="K12" i="45"/>
  <c r="J12" i="45"/>
  <c r="J11" i="45"/>
  <c r="K10" i="45"/>
  <c r="J10" i="45"/>
  <c r="K9" i="45"/>
  <c r="J9" i="45"/>
  <c r="K8" i="45"/>
  <c r="J8" i="45"/>
  <c r="K7" i="45"/>
  <c r="J7" i="45"/>
  <c r="J26" i="31" l="1"/>
  <c r="I26" i="31"/>
  <c r="G27" i="31"/>
  <c r="H27" i="31"/>
  <c r="R11" i="45"/>
  <c r="N11" i="45"/>
  <c r="S28" i="45"/>
  <c r="O28" i="45"/>
  <c r="R12" i="45"/>
  <c r="N12" i="45"/>
  <c r="R17" i="45"/>
  <c r="N17" i="45"/>
  <c r="N34" i="45"/>
  <c r="S13" i="45"/>
  <c r="O13" i="45"/>
  <c r="S17" i="45"/>
  <c r="O17" i="45"/>
  <c r="S21" i="45"/>
  <c r="O21" i="45"/>
  <c r="S25" i="45"/>
  <c r="O25" i="45"/>
  <c r="S30" i="45"/>
  <c r="O30" i="45"/>
  <c r="S34" i="45"/>
  <c r="O34" i="45"/>
  <c r="S19" i="45"/>
  <c r="O19" i="45"/>
  <c r="S27" i="45"/>
  <c r="O27" i="45"/>
  <c r="S8" i="45"/>
  <c r="O8" i="45"/>
  <c r="R21" i="45"/>
  <c r="N21" i="45"/>
  <c r="R9" i="45"/>
  <c r="N9" i="45"/>
  <c r="S9" i="45"/>
  <c r="O9" i="45"/>
  <c r="R14" i="45"/>
  <c r="N14" i="45"/>
  <c r="R18" i="45"/>
  <c r="N18" i="45"/>
  <c r="R22" i="45"/>
  <c r="N22" i="45"/>
  <c r="R26" i="45"/>
  <c r="N26" i="45"/>
  <c r="R31" i="45"/>
  <c r="N31" i="45"/>
  <c r="N35" i="45"/>
  <c r="S23" i="45"/>
  <c r="O23" i="45"/>
  <c r="S7" i="45"/>
  <c r="O7" i="45"/>
  <c r="R25" i="45"/>
  <c r="N25" i="45"/>
  <c r="R10" i="45"/>
  <c r="N10" i="45"/>
  <c r="S14" i="45"/>
  <c r="O14" i="45"/>
  <c r="S18" i="45"/>
  <c r="O18" i="45"/>
  <c r="S22" i="45"/>
  <c r="O22" i="45"/>
  <c r="S26" i="45"/>
  <c r="O26" i="45"/>
  <c r="S31" i="45"/>
  <c r="O31" i="45"/>
  <c r="S35" i="45"/>
  <c r="O35" i="45"/>
  <c r="R7" i="45"/>
  <c r="N7" i="45"/>
  <c r="R16" i="45"/>
  <c r="N16" i="45"/>
  <c r="R13" i="45"/>
  <c r="N13" i="45"/>
  <c r="R30" i="45"/>
  <c r="N30" i="45"/>
  <c r="S10" i="45"/>
  <c r="O10" i="45"/>
  <c r="R15" i="45"/>
  <c r="N15" i="45"/>
  <c r="R19" i="45"/>
  <c r="N19" i="45"/>
  <c r="R23" i="45"/>
  <c r="N23" i="45"/>
  <c r="R28" i="45"/>
  <c r="N28" i="45"/>
  <c r="R32" i="45"/>
  <c r="N32" i="45"/>
  <c r="R27" i="45"/>
  <c r="N27" i="45"/>
  <c r="S15" i="45"/>
  <c r="O15" i="45"/>
  <c r="S32" i="45"/>
  <c r="O32" i="45"/>
  <c r="R20" i="45"/>
  <c r="N20" i="45"/>
  <c r="R24" i="45"/>
  <c r="N24" i="45"/>
  <c r="R29" i="45"/>
  <c r="N29" i="45"/>
  <c r="R33" i="45"/>
  <c r="N33" i="45"/>
  <c r="R8" i="45"/>
  <c r="N8" i="45"/>
  <c r="S12" i="45"/>
  <c r="O12" i="45"/>
  <c r="S16" i="45"/>
  <c r="O16" i="45"/>
  <c r="S20" i="45"/>
  <c r="O20" i="45"/>
  <c r="S24" i="45"/>
  <c r="O24" i="45"/>
  <c r="S29" i="45"/>
  <c r="O29" i="45"/>
  <c r="S33" i="45"/>
  <c r="O33" i="45"/>
  <c r="K11" i="45"/>
  <c r="P50" i="45"/>
  <c r="P49" i="45"/>
  <c r="P44" i="45"/>
  <c r="P43" i="45"/>
  <c r="P42" i="45"/>
  <c r="P41" i="45"/>
  <c r="P40" i="45"/>
  <c r="P39" i="45"/>
  <c r="P38" i="45"/>
  <c r="P37" i="45"/>
  <c r="P36" i="45"/>
  <c r="P27" i="45"/>
  <c r="P35" i="45"/>
  <c r="P34" i="45"/>
  <c r="P33" i="45"/>
  <c r="P32" i="45"/>
  <c r="P31" i="45"/>
  <c r="P30" i="45"/>
  <c r="P29" i="45"/>
  <c r="P28" i="45"/>
  <c r="P26" i="45"/>
  <c r="P25" i="45"/>
  <c r="P24" i="45"/>
  <c r="P23" i="45"/>
  <c r="P21" i="45"/>
  <c r="P20" i="45"/>
  <c r="P19" i="45"/>
  <c r="P18" i="45"/>
  <c r="P17" i="45"/>
  <c r="P16" i="45"/>
  <c r="P15" i="45"/>
  <c r="P14" i="45"/>
  <c r="P13" i="45"/>
  <c r="P12" i="45"/>
  <c r="P11" i="45"/>
  <c r="P10" i="45"/>
  <c r="P9" i="45"/>
  <c r="P8" i="45"/>
  <c r="P7" i="45"/>
  <c r="Q47" i="37"/>
  <c r="P47" i="37"/>
  <c r="K47" i="37"/>
  <c r="J47" i="37"/>
  <c r="Q46" i="37"/>
  <c r="P46" i="37"/>
  <c r="K46" i="37"/>
  <c r="J46" i="37"/>
  <c r="Q41" i="37"/>
  <c r="P41" i="37"/>
  <c r="K41" i="37"/>
  <c r="J41" i="37"/>
  <c r="Q40" i="37"/>
  <c r="P40" i="37"/>
  <c r="K40" i="37"/>
  <c r="J40" i="37"/>
  <c r="Q39" i="37"/>
  <c r="P39" i="37"/>
  <c r="K39" i="37"/>
  <c r="J39" i="37"/>
  <c r="Q38" i="37"/>
  <c r="P38" i="37"/>
  <c r="K38" i="37"/>
  <c r="J38" i="37"/>
  <c r="Q37" i="37"/>
  <c r="P37" i="37"/>
  <c r="K37" i="37"/>
  <c r="J37" i="37"/>
  <c r="Q36" i="37"/>
  <c r="P36" i="37"/>
  <c r="K36" i="37"/>
  <c r="J36" i="37"/>
  <c r="Q35" i="37"/>
  <c r="P35" i="37"/>
  <c r="K35" i="37"/>
  <c r="J35" i="37"/>
  <c r="Q34" i="37"/>
  <c r="P34" i="37"/>
  <c r="K34" i="37"/>
  <c r="J34" i="37"/>
  <c r="Q33" i="37"/>
  <c r="P33" i="37"/>
  <c r="K33" i="37"/>
  <c r="J33" i="37"/>
  <c r="Q24" i="37"/>
  <c r="P24" i="37"/>
  <c r="Q32" i="37"/>
  <c r="P32" i="37"/>
  <c r="K32" i="37"/>
  <c r="O32" i="37" s="1"/>
  <c r="J32" i="37"/>
  <c r="N32" i="37" s="1"/>
  <c r="Q31" i="37"/>
  <c r="P31" i="37"/>
  <c r="K31" i="37"/>
  <c r="O31" i="37" s="1"/>
  <c r="J31" i="37"/>
  <c r="N31" i="37" s="1"/>
  <c r="Q30" i="37"/>
  <c r="P30" i="37"/>
  <c r="K30" i="37"/>
  <c r="O30" i="37" s="1"/>
  <c r="J30" i="37"/>
  <c r="N30" i="37" s="1"/>
  <c r="Q29" i="37"/>
  <c r="P29" i="37"/>
  <c r="K29" i="37"/>
  <c r="O29" i="37" s="1"/>
  <c r="J29" i="37"/>
  <c r="N29" i="37" s="1"/>
  <c r="Q28" i="37"/>
  <c r="P28" i="37"/>
  <c r="K28" i="37"/>
  <c r="O28" i="37" s="1"/>
  <c r="J28" i="37"/>
  <c r="N28" i="37" s="1"/>
  <c r="Q27" i="37"/>
  <c r="P27" i="37"/>
  <c r="K27" i="37"/>
  <c r="O27" i="37" s="1"/>
  <c r="J27" i="37"/>
  <c r="N27" i="37" s="1"/>
  <c r="Q26" i="37"/>
  <c r="P26" i="37"/>
  <c r="K26" i="37"/>
  <c r="O26" i="37" s="1"/>
  <c r="J26" i="37"/>
  <c r="N26" i="37" s="1"/>
  <c r="Q25" i="37"/>
  <c r="P25" i="37"/>
  <c r="K25" i="37"/>
  <c r="O25" i="37" s="1"/>
  <c r="J25" i="37"/>
  <c r="N25" i="37" s="1"/>
  <c r="Q23" i="37"/>
  <c r="P23" i="37"/>
  <c r="K23" i="37"/>
  <c r="O23" i="37" s="1"/>
  <c r="J23" i="37"/>
  <c r="Q22" i="37"/>
  <c r="P22" i="37"/>
  <c r="K22" i="37"/>
  <c r="O22" i="37" s="1"/>
  <c r="J22" i="37"/>
  <c r="N22" i="37" s="1"/>
  <c r="Q21" i="37"/>
  <c r="P21" i="37"/>
  <c r="K21" i="37"/>
  <c r="O21" i="37" s="1"/>
  <c r="J21" i="37"/>
  <c r="N21" i="37" s="1"/>
  <c r="Q20" i="37"/>
  <c r="P20" i="37"/>
  <c r="K20" i="37"/>
  <c r="O20" i="37" s="1"/>
  <c r="J20" i="37"/>
  <c r="N20" i="37" s="1"/>
  <c r="Q19" i="37"/>
  <c r="P19" i="37"/>
  <c r="K19" i="37"/>
  <c r="O19" i="37" s="1"/>
  <c r="J19" i="37"/>
  <c r="N19" i="37" s="1"/>
  <c r="Q18" i="37"/>
  <c r="P18" i="37"/>
  <c r="K18" i="37"/>
  <c r="O18" i="37" s="1"/>
  <c r="J18" i="37"/>
  <c r="N18" i="37" s="1"/>
  <c r="Q17" i="37"/>
  <c r="P17" i="37"/>
  <c r="K17" i="37"/>
  <c r="O17" i="37" s="1"/>
  <c r="J17" i="37"/>
  <c r="N17" i="37" s="1"/>
  <c r="Q16" i="37"/>
  <c r="P16" i="37"/>
  <c r="K16" i="37"/>
  <c r="O16" i="37" s="1"/>
  <c r="J16" i="37"/>
  <c r="N16" i="37" s="1"/>
  <c r="Q15" i="37"/>
  <c r="P15" i="37"/>
  <c r="K15" i="37"/>
  <c r="O15" i="37" s="1"/>
  <c r="J15" i="37"/>
  <c r="N15" i="37" s="1"/>
  <c r="Q14" i="37"/>
  <c r="P14" i="37"/>
  <c r="K14" i="37"/>
  <c r="O14" i="37" s="1"/>
  <c r="J14" i="37"/>
  <c r="N14" i="37" s="1"/>
  <c r="Q13" i="37"/>
  <c r="P13" i="37"/>
  <c r="K13" i="37"/>
  <c r="O13" i="37" s="1"/>
  <c r="J13" i="37"/>
  <c r="N13" i="37" s="1"/>
  <c r="Q12" i="37"/>
  <c r="P12" i="37"/>
  <c r="K12" i="37"/>
  <c r="S12" i="37" s="1"/>
  <c r="J12" i="37"/>
  <c r="R12" i="37" s="1"/>
  <c r="Q11" i="37"/>
  <c r="P11" i="37"/>
  <c r="K11" i="37"/>
  <c r="O11" i="37" s="1"/>
  <c r="J11" i="37"/>
  <c r="N11" i="37" s="1"/>
  <c r="Q10" i="37"/>
  <c r="P10" i="37"/>
  <c r="K10" i="37"/>
  <c r="O10" i="37" s="1"/>
  <c r="J10" i="37"/>
  <c r="N10" i="37" s="1"/>
  <c r="Q9" i="37"/>
  <c r="P9" i="37"/>
  <c r="K9" i="37"/>
  <c r="O9" i="37" s="1"/>
  <c r="J9" i="37"/>
  <c r="N9" i="37" s="1"/>
  <c r="Q8" i="37"/>
  <c r="P8" i="37"/>
  <c r="K8" i="37"/>
  <c r="O8" i="37" s="1"/>
  <c r="J8" i="37"/>
  <c r="N8" i="37" s="1"/>
  <c r="Q7" i="37"/>
  <c r="P7" i="37"/>
  <c r="K7" i="37"/>
  <c r="O7" i="37" s="1"/>
  <c r="J7" i="37"/>
  <c r="N7" i="37" s="1"/>
  <c r="Q6" i="37"/>
  <c r="P6" i="37"/>
  <c r="K6" i="37"/>
  <c r="O6" i="37" s="1"/>
  <c r="J6" i="37"/>
  <c r="N6" i="37" s="1"/>
  <c r="Q5" i="37"/>
  <c r="P5" i="37"/>
  <c r="K5" i="37"/>
  <c r="O5" i="37" s="1"/>
  <c r="J5" i="37"/>
  <c r="N5" i="37" s="1"/>
  <c r="Q4" i="37"/>
  <c r="P4" i="37"/>
  <c r="K4" i="37"/>
  <c r="O4" i="37" s="1"/>
  <c r="J4" i="37"/>
  <c r="N4" i="37" s="1"/>
  <c r="F13" i="31"/>
  <c r="E13" i="31"/>
  <c r="E12" i="31"/>
  <c r="E11" i="31"/>
  <c r="E10" i="31"/>
  <c r="F11" i="31" l="1"/>
  <c r="R32" i="37"/>
  <c r="R18" i="37"/>
  <c r="I13" i="31"/>
  <c r="H12" i="31"/>
  <c r="I10" i="31"/>
  <c r="I12" i="31"/>
  <c r="H11" i="31"/>
  <c r="H13" i="31"/>
  <c r="I11" i="31"/>
  <c r="S11" i="37"/>
  <c r="S6" i="37"/>
  <c r="R11" i="37"/>
  <c r="S32" i="37"/>
  <c r="S5" i="37"/>
  <c r="R10" i="37"/>
  <c r="R22" i="37"/>
  <c r="S17" i="37"/>
  <c r="R25" i="37"/>
  <c r="R8" i="37"/>
  <c r="R7" i="37"/>
  <c r="R14" i="37"/>
  <c r="S19" i="37"/>
  <c r="R6" i="37"/>
  <c r="S14" i="37"/>
  <c r="S15" i="37"/>
  <c r="R27" i="37"/>
  <c r="S23" i="37"/>
  <c r="S27" i="37"/>
  <c r="S26" i="37"/>
  <c r="R31" i="37"/>
  <c r="S7" i="37"/>
  <c r="S10" i="37"/>
  <c r="S13" i="37"/>
  <c r="R19" i="37"/>
  <c r="S22" i="37"/>
  <c r="S31" i="37"/>
  <c r="S9" i="37"/>
  <c r="S21" i="37"/>
  <c r="S30" i="37"/>
  <c r="R15" i="37"/>
  <c r="S18" i="37"/>
  <c r="N23" i="37"/>
  <c r="H10" i="31" s="1"/>
  <c r="F10" i="31"/>
  <c r="G18" i="31" s="1"/>
  <c r="R4" i="37"/>
  <c r="R16" i="37"/>
  <c r="R20" i="37"/>
  <c r="R29" i="37"/>
  <c r="S4" i="37"/>
  <c r="S8" i="37"/>
  <c r="S16" i="37"/>
  <c r="S20" i="37"/>
  <c r="S25" i="37"/>
  <c r="S29" i="37"/>
  <c r="R23" i="37"/>
  <c r="R28" i="37"/>
  <c r="O12" i="37"/>
  <c r="S28" i="37"/>
  <c r="F12" i="31"/>
  <c r="R5" i="37"/>
  <c r="R9" i="37"/>
  <c r="N12" i="37"/>
  <c r="R13" i="37"/>
  <c r="R17" i="37"/>
  <c r="R21" i="37"/>
  <c r="R26" i="37"/>
  <c r="R30" i="37"/>
  <c r="S11" i="45"/>
  <c r="O11" i="45"/>
  <c r="J10" i="31" l="1"/>
  <c r="J11" i="31"/>
  <c r="J13" i="31"/>
  <c r="J12" i="31"/>
  <c r="I54" i="31"/>
  <c r="I55" i="31" l="1"/>
  <c r="J54" i="31"/>
  <c r="H55" i="31"/>
  <c r="H54" i="31"/>
  <c r="G54" i="31"/>
  <c r="J55" i="31"/>
  <c r="G55" i="31"/>
  <c r="J22" i="40"/>
  <c r="U22" i="40"/>
  <c r="J23" i="40"/>
  <c r="U23" i="40"/>
  <c r="J24" i="40"/>
  <c r="U24" i="40"/>
  <c r="J25" i="40"/>
  <c r="U25" i="40"/>
  <c r="J26" i="40"/>
  <c r="U26" i="40"/>
  <c r="J27" i="40"/>
  <c r="U27" i="40"/>
  <c r="J28" i="40"/>
  <c r="U28" i="40"/>
  <c r="J29" i="40"/>
  <c r="U29" i="40"/>
  <c r="J32" i="40"/>
  <c r="U32" i="40"/>
  <c r="J33" i="40"/>
  <c r="U33" i="40"/>
  <c r="J34" i="40"/>
  <c r="U34" i="40"/>
  <c r="J35" i="40"/>
  <c r="U35" i="40"/>
  <c r="J36" i="40"/>
  <c r="U36" i="40"/>
  <c r="J37" i="40"/>
  <c r="U37" i="40"/>
  <c r="J38" i="40"/>
  <c r="U38" i="40"/>
  <c r="J39" i="40"/>
  <c r="U39" i="40"/>
  <c r="J40" i="40"/>
  <c r="U40" i="40"/>
  <c r="J41" i="40"/>
  <c r="U41" i="40"/>
  <c r="J42" i="40"/>
  <c r="U42" i="40"/>
  <c r="J43" i="40"/>
  <c r="U43" i="40"/>
  <c r="J44" i="40"/>
  <c r="U44" i="40"/>
  <c r="J45" i="40"/>
  <c r="U45" i="40"/>
  <c r="J46" i="40"/>
  <c r="U46" i="40"/>
  <c r="J47" i="40"/>
  <c r="U47" i="40"/>
  <c r="J48" i="40"/>
  <c r="U48" i="40"/>
  <c r="J49" i="40"/>
  <c r="U49" i="40"/>
  <c r="J50" i="40"/>
  <c r="U50" i="40"/>
  <c r="J51" i="40"/>
  <c r="U51" i="40"/>
  <c r="J52" i="40"/>
  <c r="U52" i="40"/>
  <c r="J53" i="40"/>
  <c r="U53" i="40"/>
  <c r="S56" i="40"/>
  <c r="S56" i="44"/>
  <c r="D5" i="38" l="1"/>
  <c r="C5" i="38"/>
  <c r="U53" i="44" l="1"/>
  <c r="U52" i="44"/>
  <c r="U51" i="44"/>
  <c r="U50" i="44"/>
  <c r="U49" i="44"/>
  <c r="U48" i="44"/>
  <c r="U47" i="44"/>
  <c r="U46" i="44"/>
  <c r="U45" i="44"/>
  <c r="U44" i="44"/>
  <c r="U43" i="44"/>
  <c r="U42" i="44"/>
  <c r="U41" i="44"/>
  <c r="U40" i="44"/>
  <c r="U39" i="44"/>
  <c r="U38" i="44"/>
  <c r="U37" i="44"/>
  <c r="U36" i="44"/>
  <c r="U35" i="44"/>
  <c r="U34" i="44"/>
  <c r="U33" i="44"/>
  <c r="U32" i="44"/>
  <c r="U29" i="44"/>
  <c r="U28" i="44"/>
  <c r="U27" i="44"/>
  <c r="U26" i="44"/>
  <c r="U25" i="44"/>
  <c r="U24" i="44"/>
  <c r="U23" i="44"/>
  <c r="U22" i="44"/>
  <c r="J53" i="44"/>
  <c r="J52" i="44"/>
  <c r="J51" i="44"/>
  <c r="J50" i="44"/>
  <c r="J49" i="44"/>
  <c r="J48" i="44"/>
  <c r="J47" i="44"/>
  <c r="J46" i="44"/>
  <c r="J45" i="44"/>
  <c r="J44" i="44"/>
  <c r="J43" i="44"/>
  <c r="J42" i="44"/>
  <c r="J41" i="44"/>
  <c r="J40" i="44"/>
  <c r="J39" i="44"/>
  <c r="J38" i="44"/>
  <c r="J37" i="44"/>
  <c r="J36" i="44"/>
  <c r="J35" i="44"/>
  <c r="J34" i="44"/>
  <c r="J33" i="44"/>
  <c r="J32" i="44"/>
  <c r="J29" i="44"/>
  <c r="J28" i="44"/>
  <c r="J27" i="44"/>
  <c r="J26" i="44"/>
  <c r="J25" i="44"/>
  <c r="J24" i="44"/>
  <c r="J23" i="44"/>
  <c r="J22" i="44"/>
  <c r="G11" i="42"/>
  <c r="G23" i="42"/>
  <c r="T4" i="44" l="1"/>
  <c r="S4" i="44"/>
  <c r="J4" i="44"/>
  <c r="I4" i="44"/>
  <c r="H4" i="44"/>
  <c r="H36" i="44"/>
  <c r="S16" i="44"/>
  <c r="S14" i="44"/>
  <c r="S12" i="44"/>
  <c r="U81" i="44"/>
  <c r="T81" i="44"/>
  <c r="J81" i="44"/>
  <c r="I81" i="44"/>
  <c r="V20" i="44"/>
  <c r="K20" i="44"/>
  <c r="J13" i="44" l="1"/>
  <c r="J11" i="44"/>
  <c r="J10" i="44"/>
  <c r="J12" i="44"/>
  <c r="N12" i="44"/>
  <c r="N13" i="44"/>
  <c r="L10" i="44"/>
  <c r="L12" i="44"/>
  <c r="L13" i="44"/>
  <c r="L11" i="44"/>
  <c r="K13" i="44"/>
  <c r="K10" i="44"/>
  <c r="K12" i="44"/>
  <c r="K11" i="44"/>
  <c r="N10" i="44"/>
  <c r="O10" i="44"/>
  <c r="M13" i="44"/>
  <c r="N11" i="44"/>
  <c r="M12" i="44"/>
  <c r="O13" i="44"/>
  <c r="O11" i="44"/>
  <c r="M10" i="44"/>
  <c r="O12" i="44"/>
  <c r="M11" i="44"/>
  <c r="S54" i="44"/>
  <c r="S30" i="44"/>
  <c r="H54" i="44"/>
  <c r="H30" i="44"/>
  <c r="H50" i="44"/>
  <c r="H44" i="44"/>
  <c r="H48" i="44"/>
  <c r="H34" i="44"/>
  <c r="H38" i="44"/>
  <c r="H42" i="44"/>
  <c r="H46" i="44"/>
  <c r="H52" i="44"/>
  <c r="H40" i="44"/>
  <c r="H22" i="44"/>
  <c r="H32" i="44"/>
  <c r="H28" i="44"/>
  <c r="H24" i="44"/>
  <c r="H26" i="44"/>
  <c r="S26" i="44"/>
  <c r="S36" i="44"/>
  <c r="S44" i="44"/>
  <c r="S52" i="44"/>
  <c r="S32" i="44"/>
  <c r="S48" i="44"/>
  <c r="S28" i="44"/>
  <c r="S38" i="44"/>
  <c r="S46" i="44"/>
  <c r="S22" i="44"/>
  <c r="S40" i="44"/>
  <c r="S42" i="44"/>
  <c r="S50" i="44"/>
  <c r="S24" i="44"/>
  <c r="S34" i="44"/>
  <c r="K31" i="44" l="1"/>
  <c r="P30" i="44"/>
  <c r="O30" i="44"/>
  <c r="P31" i="44"/>
  <c r="N30" i="44"/>
  <c r="O31" i="44"/>
  <c r="M30" i="44"/>
  <c r="N31" i="44"/>
  <c r="L30" i="44"/>
  <c r="M31" i="44"/>
  <c r="K30" i="44"/>
  <c r="L31" i="44"/>
  <c r="Q57" i="44"/>
  <c r="Q56" i="44"/>
  <c r="Q54" i="44"/>
  <c r="Q55" i="44"/>
  <c r="Q24" i="44"/>
  <c r="Q28" i="44"/>
  <c r="Q26" i="44"/>
  <c r="Q22" i="44"/>
  <c r="Q30" i="44"/>
  <c r="Q31" i="44"/>
  <c r="P52" i="44"/>
  <c r="L50" i="44"/>
  <c r="P48" i="44"/>
  <c r="L46" i="44"/>
  <c r="P44" i="44"/>
  <c r="L42" i="44"/>
  <c r="P40" i="44"/>
  <c r="L38" i="44"/>
  <c r="P36" i="44"/>
  <c r="L34" i="44"/>
  <c r="P32" i="44"/>
  <c r="O52" i="44"/>
  <c r="K50" i="44"/>
  <c r="O48" i="44"/>
  <c r="K46" i="44"/>
  <c r="O44" i="44"/>
  <c r="K42" i="44"/>
  <c r="O40" i="44"/>
  <c r="K38" i="44"/>
  <c r="O36" i="44"/>
  <c r="K34" i="44"/>
  <c r="O32" i="44"/>
  <c r="N52" i="44"/>
  <c r="N48" i="44"/>
  <c r="N44" i="44"/>
  <c r="N40" i="44"/>
  <c r="N36" i="44"/>
  <c r="N32" i="44"/>
  <c r="M50" i="44"/>
  <c r="M38" i="44"/>
  <c r="M52" i="44"/>
  <c r="M48" i="44"/>
  <c r="M44" i="44"/>
  <c r="M40" i="44"/>
  <c r="M36" i="44"/>
  <c r="M32" i="44"/>
  <c r="M46" i="44"/>
  <c r="L52" i="44"/>
  <c r="P50" i="44"/>
  <c r="L48" i="44"/>
  <c r="P46" i="44"/>
  <c r="L44" i="44"/>
  <c r="P42" i="44"/>
  <c r="L40" i="44"/>
  <c r="P38" i="44"/>
  <c r="L36" i="44"/>
  <c r="P34" i="44"/>
  <c r="L32" i="44"/>
  <c r="K52" i="44"/>
  <c r="O50" i="44"/>
  <c r="K48" i="44"/>
  <c r="O46" i="44"/>
  <c r="K44" i="44"/>
  <c r="O42" i="44"/>
  <c r="K40" i="44"/>
  <c r="O38" i="44"/>
  <c r="K36" i="44"/>
  <c r="O34" i="44"/>
  <c r="K32" i="44"/>
  <c r="M42" i="44"/>
  <c r="N50" i="44"/>
  <c r="N46" i="44"/>
  <c r="N42" i="44"/>
  <c r="N38" i="44"/>
  <c r="N34" i="44"/>
  <c r="M34" i="44"/>
  <c r="K29" i="44"/>
  <c r="O27" i="44"/>
  <c r="K25" i="44"/>
  <c r="O23" i="44"/>
  <c r="N27" i="44"/>
  <c r="N23" i="44"/>
  <c r="P23" i="44"/>
  <c r="M27" i="44"/>
  <c r="M23" i="44"/>
  <c r="P27" i="44"/>
  <c r="P29" i="44"/>
  <c r="L27" i="44"/>
  <c r="P25" i="44"/>
  <c r="L23" i="44"/>
  <c r="L29" i="44"/>
  <c r="O29" i="44"/>
  <c r="K27" i="44"/>
  <c r="O25" i="44"/>
  <c r="K23" i="44"/>
  <c r="N29" i="44"/>
  <c r="N25" i="44"/>
  <c r="L25" i="44"/>
  <c r="M29" i="44"/>
  <c r="M25" i="44"/>
  <c r="Q27" i="44"/>
  <c r="Q29" i="44"/>
  <c r="Q23" i="44"/>
  <c r="Q25" i="44"/>
  <c r="L54" i="44"/>
  <c r="K54" i="44"/>
  <c r="M54" i="44"/>
  <c r="P54" i="44"/>
  <c r="O54" i="44"/>
  <c r="N54" i="44"/>
  <c r="Q41" i="44"/>
  <c r="Q51" i="44"/>
  <c r="Q49" i="44"/>
  <c r="Q35" i="44"/>
  <c r="Q43" i="44"/>
  <c r="Q53" i="44"/>
  <c r="Q33" i="44"/>
  <c r="Q37" i="44"/>
  <c r="Q45" i="44"/>
  <c r="Q39" i="44"/>
  <c r="Q47" i="44"/>
  <c r="M26" i="44"/>
  <c r="M22" i="44"/>
  <c r="P28" i="44"/>
  <c r="L26" i="44"/>
  <c r="P24" i="44"/>
  <c r="L22" i="44"/>
  <c r="O28" i="44"/>
  <c r="K26" i="44"/>
  <c r="O24" i="44"/>
  <c r="K22" i="44"/>
  <c r="N28" i="44"/>
  <c r="N24" i="44"/>
  <c r="N22" i="44"/>
  <c r="M28" i="44"/>
  <c r="M24" i="44"/>
  <c r="L28" i="44"/>
  <c r="P26" i="44"/>
  <c r="L24" i="44"/>
  <c r="P22" i="44"/>
  <c r="K28" i="44"/>
  <c r="O26" i="44"/>
  <c r="K24" i="44"/>
  <c r="O22" i="44"/>
  <c r="N26" i="44"/>
  <c r="Q34" i="44"/>
  <c r="Q42" i="44"/>
  <c r="Q52" i="44"/>
  <c r="Q48" i="44"/>
  <c r="Q50" i="44"/>
  <c r="Q36" i="44"/>
  <c r="Q44" i="44"/>
  <c r="Q32" i="44"/>
  <c r="Q38" i="44"/>
  <c r="Q46" i="44"/>
  <c r="Q40" i="44"/>
  <c r="N55" i="44"/>
  <c r="M55" i="44"/>
  <c r="O55" i="44"/>
  <c r="L55" i="44"/>
  <c r="K55" i="44"/>
  <c r="P55" i="44"/>
  <c r="N51" i="44"/>
  <c r="N47" i="44"/>
  <c r="N43" i="44"/>
  <c r="N39" i="44"/>
  <c r="N35" i="44"/>
  <c r="M51" i="44"/>
  <c r="M47" i="44"/>
  <c r="M43" i="44"/>
  <c r="M39" i="44"/>
  <c r="M35" i="44"/>
  <c r="K49" i="44"/>
  <c r="O43" i="44"/>
  <c r="K37" i="44"/>
  <c r="P53" i="44"/>
  <c r="L51" i="44"/>
  <c r="P49" i="44"/>
  <c r="L47" i="44"/>
  <c r="P45" i="44"/>
  <c r="L43" i="44"/>
  <c r="P41" i="44"/>
  <c r="L39" i="44"/>
  <c r="P37" i="44"/>
  <c r="L35" i="44"/>
  <c r="P33" i="44"/>
  <c r="K45" i="44"/>
  <c r="K33" i="44"/>
  <c r="O53" i="44"/>
  <c r="K51" i="44"/>
  <c r="O49" i="44"/>
  <c r="K47" i="44"/>
  <c r="O45" i="44"/>
  <c r="K43" i="44"/>
  <c r="O41" i="44"/>
  <c r="K39" i="44"/>
  <c r="O37" i="44"/>
  <c r="K35" i="44"/>
  <c r="O33" i="44"/>
  <c r="O51" i="44"/>
  <c r="K41" i="44"/>
  <c r="O35" i="44"/>
  <c r="N53" i="44"/>
  <c r="N49" i="44"/>
  <c r="N45" i="44"/>
  <c r="N41" i="44"/>
  <c r="N37" i="44"/>
  <c r="N33" i="44"/>
  <c r="M53" i="44"/>
  <c r="M49" i="44"/>
  <c r="M45" i="44"/>
  <c r="M41" i="44"/>
  <c r="M37" i="44"/>
  <c r="M33" i="44"/>
  <c r="L53" i="44"/>
  <c r="P51" i="44"/>
  <c r="L49" i="44"/>
  <c r="P47" i="44"/>
  <c r="L45" i="44"/>
  <c r="P43" i="44"/>
  <c r="L41" i="44"/>
  <c r="P39" i="44"/>
  <c r="L37" i="44"/>
  <c r="P35" i="44"/>
  <c r="L33" i="44"/>
  <c r="K53" i="44"/>
  <c r="O47" i="44"/>
  <c r="O39" i="44"/>
  <c r="M32" i="31"/>
  <c r="O32" i="31"/>
  <c r="O33" i="31"/>
  <c r="M34" i="31"/>
  <c r="O34" i="31"/>
  <c r="O35" i="31"/>
  <c r="M36" i="31"/>
  <c r="O36" i="31"/>
  <c r="O37" i="31"/>
  <c r="M38" i="31"/>
  <c r="O38" i="31"/>
  <c r="O39" i="31"/>
  <c r="M40" i="31"/>
  <c r="O40" i="31"/>
  <c r="O41" i="31"/>
  <c r="M42" i="31"/>
  <c r="O42" i="31"/>
  <c r="O43" i="31"/>
  <c r="M44" i="31"/>
  <c r="O44" i="31"/>
  <c r="O45" i="31"/>
  <c r="M46" i="31"/>
  <c r="O46" i="31"/>
  <c r="O47" i="31"/>
  <c r="M48" i="31"/>
  <c r="O48" i="31"/>
  <c r="O49" i="31"/>
  <c r="M50" i="31"/>
  <c r="O50" i="31"/>
  <c r="O51" i="31"/>
  <c r="M52" i="31"/>
  <c r="O52" i="31"/>
  <c r="O53" i="31"/>
  <c r="Q17" i="31" l="1"/>
  <c r="T4" i="40" l="1"/>
  <c r="S4" i="40"/>
  <c r="J4" i="40"/>
  <c r="I4" i="40"/>
  <c r="H4" i="40"/>
  <c r="S30" i="40" l="1"/>
  <c r="S54" i="40"/>
  <c r="H30" i="40"/>
  <c r="H54" i="40"/>
  <c r="N10" i="40"/>
  <c r="L10" i="40"/>
  <c r="K13" i="40"/>
  <c r="L12" i="40"/>
  <c r="O13" i="40"/>
  <c r="M13" i="40"/>
  <c r="J10" i="40"/>
  <c r="K12" i="40"/>
  <c r="O12" i="40"/>
  <c r="M12" i="40"/>
  <c r="K10" i="40"/>
  <c r="O11" i="40"/>
  <c r="M11" i="40"/>
  <c r="J11" i="40"/>
  <c r="O10" i="40"/>
  <c r="M10" i="40"/>
  <c r="K11" i="40"/>
  <c r="N13" i="40"/>
  <c r="L13" i="40"/>
  <c r="J12" i="40"/>
  <c r="N11" i="40"/>
  <c r="L11" i="40"/>
  <c r="J13" i="40"/>
  <c r="N12" i="40"/>
  <c r="H26" i="40"/>
  <c r="H28" i="40"/>
  <c r="H34" i="40"/>
  <c r="H44" i="40"/>
  <c r="H48" i="40"/>
  <c r="H38" i="40"/>
  <c r="H36" i="40"/>
  <c r="H22" i="40"/>
  <c r="H24" i="40"/>
  <c r="H32" i="40"/>
  <c r="H42" i="40"/>
  <c r="H52" i="40"/>
  <c r="H50" i="40"/>
  <c r="H40" i="40"/>
  <c r="H46" i="40"/>
  <c r="S36" i="40"/>
  <c r="S50" i="40"/>
  <c r="S48" i="40"/>
  <c r="S52" i="40"/>
  <c r="S32" i="40"/>
  <c r="S42" i="40"/>
  <c r="S22" i="40"/>
  <c r="S24" i="40"/>
  <c r="S26" i="40"/>
  <c r="S38" i="40"/>
  <c r="S40" i="40"/>
  <c r="S44" i="40"/>
  <c r="S46" i="40"/>
  <c r="S28" i="40"/>
  <c r="S34" i="40"/>
  <c r="O20" i="31"/>
  <c r="O21" i="31"/>
  <c r="O22" i="31"/>
  <c r="O23" i="31"/>
  <c r="O24" i="31"/>
  <c r="O25" i="31"/>
  <c r="O19" i="31"/>
  <c r="O18" i="31"/>
  <c r="F34" i="31"/>
  <c r="F35" i="31"/>
  <c r="F36" i="31"/>
  <c r="F37" i="31"/>
  <c r="F38" i="31"/>
  <c r="F39" i="31"/>
  <c r="F40" i="31"/>
  <c r="F41" i="31"/>
  <c r="F42" i="31"/>
  <c r="F43" i="31"/>
  <c r="F44" i="31"/>
  <c r="F45" i="31"/>
  <c r="F46" i="31"/>
  <c r="F47" i="31"/>
  <c r="F48" i="31"/>
  <c r="F49" i="31"/>
  <c r="F50" i="31"/>
  <c r="F51" i="31"/>
  <c r="F52" i="31"/>
  <c r="F53" i="31"/>
  <c r="F33" i="31"/>
  <c r="F32" i="31"/>
  <c r="F20" i="31"/>
  <c r="F21" i="31"/>
  <c r="F22" i="31"/>
  <c r="F23" i="31"/>
  <c r="F24" i="31"/>
  <c r="F25" i="31"/>
  <c r="F19" i="31"/>
  <c r="F18" i="31"/>
  <c r="L25" i="39"/>
  <c r="O31" i="40" l="1"/>
  <c r="L30" i="40"/>
  <c r="N31" i="40"/>
  <c r="K31" i="40"/>
  <c r="M31" i="40"/>
  <c r="K30" i="40"/>
  <c r="L31" i="40"/>
  <c r="P30" i="40"/>
  <c r="O30" i="40"/>
  <c r="N30" i="40"/>
  <c r="P31" i="40"/>
  <c r="M30" i="40"/>
  <c r="Q56" i="40"/>
  <c r="Q57" i="40"/>
  <c r="Q30" i="40"/>
  <c r="Q54" i="40"/>
  <c r="Q31" i="40"/>
  <c r="Q23" i="40"/>
  <c r="Q55" i="40"/>
  <c r="Q33" i="40"/>
  <c r="Q39" i="40"/>
  <c r="Q47" i="40"/>
  <c r="Q53" i="40"/>
  <c r="Q45" i="40"/>
  <c r="Q41" i="40"/>
  <c r="Q49" i="40"/>
  <c r="Q35" i="40"/>
  <c r="Q43" i="40"/>
  <c r="Q51" i="40"/>
  <c r="Q37" i="40"/>
  <c r="Q38" i="40"/>
  <c r="Q46" i="40"/>
  <c r="Q32" i="40"/>
  <c r="Q40" i="40"/>
  <c r="Q48" i="40"/>
  <c r="Q34" i="40"/>
  <c r="Q42" i="40"/>
  <c r="Q50" i="40"/>
  <c r="Q36" i="40"/>
  <c r="Q44" i="40"/>
  <c r="Q52" i="40"/>
  <c r="L29" i="40"/>
  <c r="N23" i="40"/>
  <c r="N25" i="40"/>
  <c r="N27" i="40"/>
  <c r="N29" i="40"/>
  <c r="O23" i="40"/>
  <c r="O25" i="40"/>
  <c r="O27" i="40"/>
  <c r="O29" i="40"/>
  <c r="M29" i="40"/>
  <c r="K27" i="40"/>
  <c r="L23" i="40"/>
  <c r="P23" i="40"/>
  <c r="P25" i="40"/>
  <c r="P27" i="40"/>
  <c r="P29" i="40"/>
  <c r="M23" i="40"/>
  <c r="K25" i="40"/>
  <c r="M25" i="40"/>
  <c r="K29" i="40"/>
  <c r="L25" i="40"/>
  <c r="L27" i="40"/>
  <c r="K23" i="40"/>
  <c r="M27" i="40"/>
  <c r="K24" i="40"/>
  <c r="K26" i="40"/>
  <c r="L22" i="40"/>
  <c r="L28" i="40"/>
  <c r="K28" i="40"/>
  <c r="L24" i="40"/>
  <c r="M22" i="40"/>
  <c r="M24" i="40"/>
  <c r="M26" i="40"/>
  <c r="M28" i="40"/>
  <c r="N22" i="40"/>
  <c r="N24" i="40"/>
  <c r="N26" i="40"/>
  <c r="N28" i="40"/>
  <c r="L26" i="40"/>
  <c r="O22" i="40"/>
  <c r="O24" i="40"/>
  <c r="O26" i="40"/>
  <c r="O28" i="40"/>
  <c r="K22" i="40"/>
  <c r="P22" i="40"/>
  <c r="P24" i="40"/>
  <c r="P26" i="40"/>
  <c r="P28" i="40"/>
  <c r="Q22" i="40"/>
  <c r="Q24" i="40"/>
  <c r="P55" i="40"/>
  <c r="K55" i="40"/>
  <c r="M55" i="40"/>
  <c r="N54" i="40"/>
  <c r="N55" i="40"/>
  <c r="M54" i="40"/>
  <c r="K54" i="40"/>
  <c r="L54" i="40"/>
  <c r="O54" i="40"/>
  <c r="L55" i="40"/>
  <c r="O55" i="40"/>
  <c r="P54" i="40"/>
  <c r="H56" i="40"/>
  <c r="O57" i="40" s="1"/>
  <c r="H56" i="44"/>
  <c r="M52" i="40"/>
  <c r="P52" i="40"/>
  <c r="L52" i="40"/>
  <c r="N52" i="40"/>
  <c r="O52" i="40"/>
  <c r="K52" i="40"/>
  <c r="P44" i="40"/>
  <c r="L44" i="40"/>
  <c r="M44" i="40"/>
  <c r="N44" i="40"/>
  <c r="O44" i="40"/>
  <c r="K44" i="40"/>
  <c r="L46" i="40"/>
  <c r="N46" i="40"/>
  <c r="O46" i="40"/>
  <c r="P46" i="40"/>
  <c r="M46" i="40"/>
  <c r="K46" i="40"/>
  <c r="L42" i="40"/>
  <c r="K42" i="40"/>
  <c r="N42" i="40"/>
  <c r="O42" i="40"/>
  <c r="P42" i="40"/>
  <c r="M42" i="40"/>
  <c r="L36" i="40"/>
  <c r="M36" i="40"/>
  <c r="P36" i="40"/>
  <c r="N36" i="40"/>
  <c r="O36" i="40"/>
  <c r="K36" i="40"/>
  <c r="M34" i="40"/>
  <c r="L34" i="40"/>
  <c r="N34" i="40"/>
  <c r="P34" i="40"/>
  <c r="K34" i="40"/>
  <c r="O34" i="40"/>
  <c r="K40" i="40"/>
  <c r="M40" i="40"/>
  <c r="N40" i="40"/>
  <c r="O40" i="40"/>
  <c r="L40" i="40"/>
  <c r="P40" i="40"/>
  <c r="M32" i="40"/>
  <c r="K32" i="40"/>
  <c r="L32" i="40"/>
  <c r="O32" i="40"/>
  <c r="N32" i="40"/>
  <c r="P32" i="40"/>
  <c r="L38" i="40"/>
  <c r="P38" i="40"/>
  <c r="K38" i="40"/>
  <c r="M38" i="40"/>
  <c r="N38" i="40"/>
  <c r="O38" i="40"/>
  <c r="N50" i="40"/>
  <c r="O50" i="40"/>
  <c r="M50" i="40"/>
  <c r="L50" i="40"/>
  <c r="K50" i="40"/>
  <c r="P50" i="40"/>
  <c r="P48" i="40"/>
  <c r="N48" i="40"/>
  <c r="O48" i="40"/>
  <c r="M48" i="40"/>
  <c r="L48" i="40"/>
  <c r="K48" i="40"/>
  <c r="S16" i="40"/>
  <c r="S14" i="40"/>
  <c r="S12" i="40"/>
  <c r="E90" i="31"/>
  <c r="L12" i="31"/>
  <c r="I30" i="31"/>
  <c r="I16" i="31"/>
  <c r="I57" i="31"/>
  <c r="O56" i="44" l="1"/>
  <c r="N56" i="44"/>
  <c r="M56" i="44"/>
  <c r="P57" i="44"/>
  <c r="K57" i="44"/>
  <c r="L56" i="44"/>
  <c r="O57" i="44"/>
  <c r="K56" i="44"/>
  <c r="N57" i="44"/>
  <c r="M57" i="44"/>
  <c r="L57" i="44"/>
  <c r="P56" i="44"/>
  <c r="P57" i="40"/>
  <c r="P56" i="40"/>
  <c r="N57" i="40"/>
  <c r="L56" i="40"/>
  <c r="M56" i="40"/>
  <c r="L57" i="40"/>
  <c r="N56" i="40"/>
  <c r="K57" i="40"/>
  <c r="O56" i="40"/>
  <c r="M57" i="40"/>
  <c r="K56" i="40"/>
  <c r="V20" i="40"/>
  <c r="K20" i="40"/>
  <c r="D52" i="31"/>
  <c r="D50" i="31"/>
  <c r="D48" i="31"/>
  <c r="D46" i="31"/>
  <c r="D44" i="31"/>
  <c r="D42" i="31"/>
  <c r="D40" i="31"/>
  <c r="D38" i="31"/>
  <c r="D36" i="31"/>
  <c r="D34" i="31"/>
  <c r="D32" i="31"/>
  <c r="G32" i="31" s="1"/>
  <c r="D24" i="31"/>
  <c r="M22" i="31"/>
  <c r="D22" i="31"/>
  <c r="I23" i="31" s="1"/>
  <c r="M20" i="31"/>
  <c r="D20" i="31"/>
  <c r="M18" i="31"/>
  <c r="G19" i="42" l="1"/>
  <c r="C9" i="41" l="1"/>
  <c r="K9" i="41" s="1"/>
  <c r="C8" i="41"/>
  <c r="A9" i="41"/>
  <c r="A8" i="41"/>
  <c r="A6" i="41"/>
  <c r="I6" i="41" s="1"/>
  <c r="Q58" i="31"/>
  <c r="L9" i="41" l="1"/>
  <c r="L8" i="41"/>
  <c r="K8" i="41"/>
  <c r="L92" i="31"/>
  <c r="B8" i="41"/>
  <c r="I8" i="41"/>
  <c r="H9" i="41"/>
  <c r="I9" i="41"/>
  <c r="B9" i="41"/>
  <c r="F9" i="41"/>
  <c r="G9" i="41"/>
  <c r="H8" i="41"/>
  <c r="F8" i="41"/>
  <c r="G8" i="41"/>
  <c r="G4" i="42"/>
  <c r="G5" i="42"/>
  <c r="G6" i="42"/>
  <c r="G7" i="42"/>
  <c r="G8" i="42"/>
  <c r="G9" i="42"/>
  <c r="G10" i="42"/>
  <c r="G12" i="42"/>
  <c r="G13" i="42"/>
  <c r="G14" i="42"/>
  <c r="G15" i="42"/>
  <c r="G16" i="42"/>
  <c r="G17" i="42"/>
  <c r="G18" i="42"/>
  <c r="G20" i="42"/>
  <c r="G21" i="42"/>
  <c r="G22" i="42"/>
  <c r="G24" i="42"/>
  <c r="G25" i="42"/>
  <c r="G3" i="42"/>
  <c r="C6" i="41"/>
  <c r="K6" i="41" s="1"/>
  <c r="C5" i="41"/>
  <c r="K5" i="41" s="1"/>
  <c r="A5" i="41"/>
  <c r="I5" i="41" s="1"/>
  <c r="N9" i="41" l="1"/>
  <c r="N8" i="41"/>
  <c r="U10" i="44" s="1"/>
  <c r="G5" i="41"/>
  <c r="B5" i="41"/>
  <c r="F5" i="41"/>
  <c r="H5" i="41"/>
  <c r="O9" i="41" l="1"/>
  <c r="P9" i="41" s="1"/>
  <c r="U11" i="44"/>
  <c r="U12" i="44"/>
  <c r="U14" i="44"/>
  <c r="U16" i="44"/>
  <c r="U11" i="40"/>
  <c r="U17" i="40" s="1"/>
  <c r="O8" i="41"/>
  <c r="U10" i="40"/>
  <c r="N5" i="41"/>
  <c r="H6" i="41"/>
  <c r="G6" i="41"/>
  <c r="F6" i="41"/>
  <c r="B6" i="41"/>
  <c r="Q8" i="41" l="1"/>
  <c r="P8" i="41"/>
  <c r="W10" i="44" s="1"/>
  <c r="V11" i="40"/>
  <c r="Q9" i="41"/>
  <c r="W11" i="40"/>
  <c r="V55" i="40" s="1"/>
  <c r="V10" i="44"/>
  <c r="V30" i="44" s="1"/>
  <c r="U15" i="44"/>
  <c r="U13" i="44"/>
  <c r="U17" i="44"/>
  <c r="V11" i="44"/>
  <c r="V31" i="44" s="1"/>
  <c r="U15" i="40"/>
  <c r="U13" i="40"/>
  <c r="U14" i="40"/>
  <c r="U16" i="40"/>
  <c r="U12" i="40"/>
  <c r="V10" i="40"/>
  <c r="V30" i="40" s="1"/>
  <c r="N10" i="31"/>
  <c r="N12" i="31" s="1"/>
  <c r="N6" i="41"/>
  <c r="V32" i="44" l="1"/>
  <c r="V54" i="44"/>
  <c r="V25" i="40"/>
  <c r="V31" i="40"/>
  <c r="V15" i="40"/>
  <c r="X31" i="40" s="1"/>
  <c r="V17" i="40"/>
  <c r="Y31" i="40" s="1"/>
  <c r="V29" i="40"/>
  <c r="V23" i="40"/>
  <c r="V27" i="40"/>
  <c r="V13" i="40"/>
  <c r="V24" i="40"/>
  <c r="V28" i="40"/>
  <c r="V26" i="40"/>
  <c r="V22" i="40"/>
  <c r="W17" i="40"/>
  <c r="Y55" i="40" s="1"/>
  <c r="V47" i="40"/>
  <c r="V37" i="40"/>
  <c r="V41" i="40"/>
  <c r="V49" i="40"/>
  <c r="V39" i="40"/>
  <c r="V33" i="40"/>
  <c r="V45" i="40"/>
  <c r="V51" i="40"/>
  <c r="V43" i="40"/>
  <c r="V53" i="40"/>
  <c r="V35" i="40"/>
  <c r="W11" i="44"/>
  <c r="V49" i="44" s="1"/>
  <c r="V23" i="44"/>
  <c r="V25" i="44"/>
  <c r="V27" i="44"/>
  <c r="V29" i="44"/>
  <c r="W10" i="40"/>
  <c r="V26" i="44"/>
  <c r="V22" i="44"/>
  <c r="V28" i="44"/>
  <c r="V24" i="44"/>
  <c r="W15" i="40"/>
  <c r="X55" i="40" s="1"/>
  <c r="W13" i="40"/>
  <c r="W55" i="40" s="1"/>
  <c r="V16" i="44"/>
  <c r="Y30" i="44" s="1"/>
  <c r="V14" i="44"/>
  <c r="X30" i="44" s="1"/>
  <c r="V12" i="44"/>
  <c r="W30" i="44" s="1"/>
  <c r="V13" i="44"/>
  <c r="W31" i="44" s="1"/>
  <c r="V17" i="44"/>
  <c r="Y31" i="44" s="1"/>
  <c r="V15" i="44"/>
  <c r="X31" i="44" s="1"/>
  <c r="X11" i="40"/>
  <c r="V57" i="40" s="1"/>
  <c r="X11" i="44"/>
  <c r="X10" i="40"/>
  <c r="X10" i="44"/>
  <c r="W16" i="44"/>
  <c r="W12" i="44"/>
  <c r="W14" i="44"/>
  <c r="V40" i="44"/>
  <c r="V34" i="44"/>
  <c r="V46" i="44"/>
  <c r="V44" i="44"/>
  <c r="V48" i="44"/>
  <c r="V52" i="44"/>
  <c r="V36" i="44"/>
  <c r="V42" i="44"/>
  <c r="V38" i="44"/>
  <c r="V50" i="44"/>
  <c r="V16" i="40"/>
  <c r="Y30" i="40" s="1"/>
  <c r="V14" i="40"/>
  <c r="X30" i="40" s="1"/>
  <c r="V12" i="40"/>
  <c r="W30" i="40" s="1"/>
  <c r="N11" i="31"/>
  <c r="N13" i="31" s="1"/>
  <c r="Y25" i="40" l="1"/>
  <c r="X29" i="40"/>
  <c r="X25" i="40"/>
  <c r="Y32" i="44"/>
  <c r="Y54" i="44"/>
  <c r="X23" i="40"/>
  <c r="X32" i="44"/>
  <c r="X54" i="44"/>
  <c r="V33" i="44"/>
  <c r="V55" i="44"/>
  <c r="W32" i="44"/>
  <c r="W54" i="44"/>
  <c r="Y29" i="40"/>
  <c r="W25" i="40"/>
  <c r="W31" i="40"/>
  <c r="Y23" i="40"/>
  <c r="V39" i="44"/>
  <c r="Y27" i="40"/>
  <c r="W14" i="40"/>
  <c r="X54" i="40" s="1"/>
  <c r="V54" i="40"/>
  <c r="W29" i="40"/>
  <c r="X27" i="40"/>
  <c r="W15" i="44"/>
  <c r="X39" i="44" s="1"/>
  <c r="W27" i="40"/>
  <c r="W23" i="40"/>
  <c r="V41" i="44"/>
  <c r="V43" i="44"/>
  <c r="V53" i="44"/>
  <c r="V45" i="44"/>
  <c r="V47" i="44"/>
  <c r="V35" i="44"/>
  <c r="W17" i="44"/>
  <c r="Y49" i="44" s="1"/>
  <c r="V37" i="44"/>
  <c r="V51" i="44"/>
  <c r="W13" i="44"/>
  <c r="X12" i="40"/>
  <c r="W56" i="40" s="1"/>
  <c r="V56" i="40"/>
  <c r="W53" i="40"/>
  <c r="W35" i="40"/>
  <c r="W43" i="40"/>
  <c r="W47" i="40"/>
  <c r="W45" i="40"/>
  <c r="W41" i="40"/>
  <c r="W49" i="40"/>
  <c r="W39" i="40"/>
  <c r="W51" i="40"/>
  <c r="W33" i="40"/>
  <c r="W37" i="40"/>
  <c r="X22" i="40"/>
  <c r="X28" i="40"/>
  <c r="X26" i="40"/>
  <c r="X24" i="40"/>
  <c r="X33" i="40"/>
  <c r="X41" i="40"/>
  <c r="X53" i="40"/>
  <c r="X51" i="40"/>
  <c r="X47" i="40"/>
  <c r="X37" i="40"/>
  <c r="X45" i="40"/>
  <c r="X35" i="40"/>
  <c r="X49" i="40"/>
  <c r="X39" i="40"/>
  <c r="X43" i="40"/>
  <c r="W26" i="40"/>
  <c r="W24" i="40"/>
  <c r="W28" i="40"/>
  <c r="W22" i="40"/>
  <c r="Y28" i="40"/>
  <c r="Y26" i="40"/>
  <c r="Y24" i="40"/>
  <c r="Y22" i="40"/>
  <c r="W12" i="40"/>
  <c r="W54" i="40" s="1"/>
  <c r="V46" i="40"/>
  <c r="V48" i="40"/>
  <c r="V38" i="40"/>
  <c r="V32" i="40"/>
  <c r="V52" i="40"/>
  <c r="V40" i="40"/>
  <c r="V34" i="40"/>
  <c r="V50" i="40"/>
  <c r="V36" i="40"/>
  <c r="V44" i="40"/>
  <c r="V42" i="40"/>
  <c r="Y45" i="40"/>
  <c r="Y37" i="40"/>
  <c r="Y35" i="40"/>
  <c r="Y51" i="40"/>
  <c r="Y33" i="40"/>
  <c r="Y41" i="40"/>
  <c r="Y49" i="40"/>
  <c r="Y39" i="40"/>
  <c r="Y47" i="40"/>
  <c r="Y53" i="40"/>
  <c r="Y43" i="40"/>
  <c r="W16" i="40"/>
  <c r="Y54" i="40" s="1"/>
  <c r="Y22" i="44"/>
  <c r="Y28" i="44"/>
  <c r="Y24" i="44"/>
  <c r="Y26" i="44"/>
  <c r="X27" i="44"/>
  <c r="X23" i="44"/>
  <c r="X25" i="44"/>
  <c r="X29" i="44"/>
  <c r="Y29" i="44"/>
  <c r="Y25" i="44"/>
  <c r="Y27" i="44"/>
  <c r="Y23" i="44"/>
  <c r="W26" i="44"/>
  <c r="W22" i="44"/>
  <c r="W28" i="44"/>
  <c r="W24" i="44"/>
  <c r="W29" i="44"/>
  <c r="W25" i="44"/>
  <c r="W27" i="44"/>
  <c r="W23" i="44"/>
  <c r="X24" i="44"/>
  <c r="X28" i="44"/>
  <c r="X26" i="44"/>
  <c r="X22" i="44"/>
  <c r="X14" i="40"/>
  <c r="X56" i="40" s="1"/>
  <c r="X16" i="40"/>
  <c r="Y56" i="40" s="1"/>
  <c r="X17" i="40"/>
  <c r="Y57" i="40" s="1"/>
  <c r="X13" i="40"/>
  <c r="W57" i="40" s="1"/>
  <c r="X15" i="40"/>
  <c r="X57" i="40" s="1"/>
  <c r="V57" i="44"/>
  <c r="U82" i="44" s="1"/>
  <c r="X17" i="44"/>
  <c r="Y57" i="44" s="1"/>
  <c r="U85" i="44" s="1"/>
  <c r="X15" i="44"/>
  <c r="X57" i="44" s="1"/>
  <c r="U84" i="44" s="1"/>
  <c r="X13" i="44"/>
  <c r="W57" i="44" s="1"/>
  <c r="U83" i="44" s="1"/>
  <c r="W42" i="44"/>
  <c r="W44" i="44"/>
  <c r="W52" i="44"/>
  <c r="W40" i="44"/>
  <c r="W34" i="44"/>
  <c r="W48" i="44"/>
  <c r="W36" i="44"/>
  <c r="W46" i="44"/>
  <c r="W50" i="44"/>
  <c r="W38" i="44"/>
  <c r="Y52" i="44"/>
  <c r="Y50" i="44"/>
  <c r="Y36" i="44"/>
  <c r="Y46" i="44"/>
  <c r="Y34" i="44"/>
  <c r="Y38" i="44"/>
  <c r="Y48" i="44"/>
  <c r="Y40" i="44"/>
  <c r="Y44" i="44"/>
  <c r="Y42" i="44"/>
  <c r="X16" i="44"/>
  <c r="Y56" i="44" s="1"/>
  <c r="T85" i="44" s="1"/>
  <c r="X14" i="44"/>
  <c r="X56" i="44" s="1"/>
  <c r="T84" i="44" s="1"/>
  <c r="X12" i="44"/>
  <c r="W56" i="44" s="1"/>
  <c r="T83" i="44" s="1"/>
  <c r="V56" i="44"/>
  <c r="T82" i="44" s="1"/>
  <c r="X44" i="44"/>
  <c r="X40" i="44"/>
  <c r="X36" i="44"/>
  <c r="X38" i="44"/>
  <c r="X50" i="44"/>
  <c r="X34" i="44"/>
  <c r="X46" i="44"/>
  <c r="X52" i="44"/>
  <c r="X42" i="44"/>
  <c r="X48" i="44"/>
  <c r="H24" i="35"/>
  <c r="H23" i="35"/>
  <c r="H22" i="35"/>
  <c r="X40" i="40" l="1"/>
  <c r="X44" i="40"/>
  <c r="X36" i="40"/>
  <c r="X32" i="40"/>
  <c r="X34" i="40"/>
  <c r="X52" i="40"/>
  <c r="X38" i="40"/>
  <c r="X48" i="40"/>
  <c r="X41" i="44"/>
  <c r="X49" i="44"/>
  <c r="X43" i="44"/>
  <c r="Y37" i="44"/>
  <c r="X45" i="44"/>
  <c r="X37" i="44"/>
  <c r="X33" i="44"/>
  <c r="X55" i="44"/>
  <c r="X53" i="44"/>
  <c r="X47" i="44"/>
  <c r="X35" i="44"/>
  <c r="Y33" i="44"/>
  <c r="Y55" i="44"/>
  <c r="X51" i="44"/>
  <c r="W33" i="44"/>
  <c r="W55" i="44"/>
  <c r="W49" i="44"/>
  <c r="X46" i="40"/>
  <c r="X42" i="40"/>
  <c r="X50" i="40"/>
  <c r="W43" i="44"/>
  <c r="W51" i="44"/>
  <c r="W53" i="44"/>
  <c r="W41" i="44"/>
  <c r="Y47" i="44"/>
  <c r="Y35" i="44"/>
  <c r="W45" i="44"/>
  <c r="W37" i="44"/>
  <c r="Y43" i="44"/>
  <c r="Y41" i="44"/>
  <c r="Y51" i="44"/>
  <c r="Y45" i="44"/>
  <c r="W39" i="44"/>
  <c r="W47" i="44"/>
  <c r="W35" i="44"/>
  <c r="Y39" i="44"/>
  <c r="Y53" i="44"/>
  <c r="W32" i="40"/>
  <c r="W34" i="40"/>
  <c r="W50" i="40"/>
  <c r="W48" i="40"/>
  <c r="W42" i="40"/>
  <c r="W44" i="40"/>
  <c r="W52" i="40"/>
  <c r="W40" i="40"/>
  <c r="W38" i="40"/>
  <c r="W46" i="40"/>
  <c r="W36" i="40"/>
  <c r="Y46" i="40"/>
  <c r="Y44" i="40"/>
  <c r="Y34" i="40"/>
  <c r="Y40" i="40"/>
  <c r="Y48" i="40"/>
  <c r="Y38" i="40"/>
  <c r="Y42" i="40"/>
  <c r="Y32" i="40"/>
  <c r="Y36" i="40"/>
  <c r="Y52" i="40"/>
  <c r="Y50" i="40"/>
  <c r="I81" i="40"/>
  <c r="U81" i="40"/>
  <c r="T81" i="40"/>
  <c r="Q31" i="31" l="1"/>
  <c r="L91" i="31" l="1"/>
  <c r="J81" i="40"/>
  <c r="U85" i="40" l="1"/>
  <c r="U84" i="40"/>
  <c r="U83" i="40"/>
  <c r="U82" i="40"/>
  <c r="T83" i="40"/>
  <c r="Q26" i="40" l="1"/>
  <c r="Q28" i="40"/>
  <c r="Q25" i="40"/>
  <c r="Q27" i="40"/>
  <c r="Q29" i="40"/>
  <c r="J25" i="31"/>
  <c r="J23" i="31"/>
  <c r="J21" i="31"/>
  <c r="J19" i="31"/>
  <c r="I19" i="31"/>
  <c r="I25" i="31"/>
  <c r="I21" i="31"/>
  <c r="I18" i="31"/>
  <c r="I24" i="31"/>
  <c r="I22" i="31"/>
  <c r="I20" i="31"/>
  <c r="J24" i="31"/>
  <c r="J20" i="31"/>
  <c r="J22" i="31"/>
  <c r="J18" i="31"/>
  <c r="H25" i="31"/>
  <c r="H23" i="31"/>
  <c r="H21" i="31"/>
  <c r="G25" i="31"/>
  <c r="G23" i="31"/>
  <c r="G21" i="31"/>
  <c r="G24" i="31"/>
  <c r="G22" i="31"/>
  <c r="H24" i="31"/>
  <c r="H22" i="31"/>
  <c r="L53" i="40" l="1"/>
  <c r="N45" i="40"/>
  <c r="K47" i="40"/>
  <c r="M47" i="40"/>
  <c r="M43" i="40"/>
  <c r="M37" i="40"/>
  <c r="N35" i="40"/>
  <c r="M35" i="40"/>
  <c r="O41" i="40"/>
  <c r="N41" i="40"/>
  <c r="N33" i="40"/>
  <c r="K33" i="40"/>
  <c r="K39" i="40"/>
  <c r="L39" i="40"/>
  <c r="M51" i="40"/>
  <c r="O51" i="40"/>
  <c r="M49" i="40"/>
  <c r="O49" i="40"/>
  <c r="O53" i="40"/>
  <c r="N53" i="40"/>
  <c r="M53" i="40"/>
  <c r="L45" i="40"/>
  <c r="O47" i="40"/>
  <c r="N37" i="40"/>
  <c r="P37" i="40"/>
  <c r="P35" i="40"/>
  <c r="K41" i="40"/>
  <c r="P41" i="40"/>
  <c r="O33" i="40"/>
  <c r="P39" i="40"/>
  <c r="M39" i="40"/>
  <c r="N51" i="40"/>
  <c r="P53" i="40"/>
  <c r="K45" i="40"/>
  <c r="O45" i="40"/>
  <c r="M45" i="40"/>
  <c r="N47" i="40"/>
  <c r="O43" i="40"/>
  <c r="N43" i="40"/>
  <c r="K43" i="40"/>
  <c r="O35" i="40"/>
  <c r="L41" i="40"/>
  <c r="P33" i="40"/>
  <c r="M33" i="40"/>
  <c r="N39" i="40"/>
  <c r="K51" i="40"/>
  <c r="K49" i="40"/>
  <c r="N49" i="40"/>
  <c r="K53" i="40"/>
  <c r="P45" i="40"/>
  <c r="L47" i="40"/>
  <c r="P47" i="40"/>
  <c r="P43" i="40"/>
  <c r="L43" i="40"/>
  <c r="K37" i="40"/>
  <c r="O37" i="40"/>
  <c r="L37" i="40"/>
  <c r="K35" i="40"/>
  <c r="L35" i="40"/>
  <c r="M41" i="40"/>
  <c r="L33" i="40"/>
  <c r="O39" i="40"/>
  <c r="L51" i="40"/>
  <c r="P51" i="40"/>
  <c r="L49" i="40"/>
  <c r="P49" i="40"/>
  <c r="G34" i="31"/>
  <c r="G36" i="31"/>
  <c r="G40" i="31"/>
  <c r="G44" i="31"/>
  <c r="G48" i="31"/>
  <c r="G52" i="31"/>
  <c r="G38" i="31"/>
  <c r="G46" i="31"/>
  <c r="G50" i="31"/>
  <c r="G42" i="31"/>
  <c r="G35" i="31"/>
  <c r="G43" i="31"/>
  <c r="G47" i="31"/>
  <c r="G51" i="31"/>
  <c r="G37" i="31"/>
  <c r="G41" i="31"/>
  <c r="G45" i="31"/>
  <c r="G49" i="31"/>
  <c r="G53" i="31"/>
  <c r="G33" i="31"/>
  <c r="G39" i="31"/>
  <c r="I34" i="31"/>
  <c r="I36" i="31"/>
  <c r="I38" i="31"/>
  <c r="I40" i="31"/>
  <c r="I42" i="31"/>
  <c r="I44" i="31"/>
  <c r="I46" i="31"/>
  <c r="I48" i="31"/>
  <c r="I50" i="31"/>
  <c r="I52" i="31"/>
  <c r="I32" i="31"/>
  <c r="J34" i="31"/>
  <c r="J36" i="31"/>
  <c r="J38" i="31"/>
  <c r="J40" i="31"/>
  <c r="J42" i="31"/>
  <c r="J44" i="31"/>
  <c r="J46" i="31"/>
  <c r="J48" i="31"/>
  <c r="J50" i="31"/>
  <c r="J52" i="31"/>
  <c r="J32" i="31"/>
  <c r="I35" i="31"/>
  <c r="I41" i="31"/>
  <c r="I47" i="31"/>
  <c r="I53" i="31"/>
  <c r="I39" i="31"/>
  <c r="I43" i="31"/>
  <c r="I51" i="31"/>
  <c r="I37" i="31"/>
  <c r="I45" i="31"/>
  <c r="I49" i="31"/>
  <c r="I33" i="31"/>
  <c r="J33" i="31"/>
  <c r="J35" i="31"/>
  <c r="J37" i="31"/>
  <c r="J39" i="31"/>
  <c r="J41" i="31"/>
  <c r="J43" i="31"/>
  <c r="J45" i="31"/>
  <c r="J47" i="31"/>
  <c r="J49" i="31"/>
  <c r="J51" i="31"/>
  <c r="J53" i="31"/>
  <c r="H32" i="31"/>
  <c r="H34" i="31"/>
  <c r="H36" i="31"/>
  <c r="H38" i="31"/>
  <c r="H40" i="31"/>
  <c r="H42" i="31"/>
  <c r="H44" i="31"/>
  <c r="H46" i="31"/>
  <c r="H48" i="31"/>
  <c r="H50" i="31"/>
  <c r="H52" i="31"/>
  <c r="H33" i="31"/>
  <c r="H35" i="31"/>
  <c r="H37" i="31"/>
  <c r="H39" i="31"/>
  <c r="H41" i="31"/>
  <c r="H43" i="31"/>
  <c r="H45" i="31"/>
  <c r="H47" i="31"/>
  <c r="H49" i="31"/>
  <c r="H51" i="31"/>
  <c r="H53" i="31"/>
  <c r="H19" i="31"/>
  <c r="G19" i="31"/>
  <c r="H20" i="31" l="1"/>
  <c r="H18" i="31"/>
  <c r="G20" i="31"/>
  <c r="M59" i="31" l="1"/>
  <c r="D4" i="38" l="1"/>
  <c r="P17" i="39"/>
  <c r="R8" i="39"/>
  <c r="R7" i="39"/>
  <c r="R6" i="39"/>
  <c r="D59" i="31" l="1"/>
  <c r="L6" i="41"/>
  <c r="O6" i="41" s="1"/>
  <c r="L5" i="41"/>
  <c r="O5" i="41" s="1"/>
  <c r="Q5" i="41" l="1"/>
  <c r="Q10" i="31" s="1"/>
  <c r="P5" i="41"/>
  <c r="P10" i="31" s="1"/>
  <c r="Q6" i="41"/>
  <c r="Q11" i="31" s="1"/>
  <c r="Q13" i="31" s="1"/>
  <c r="Q60" i="31" s="1"/>
  <c r="P6" i="41"/>
  <c r="P11" i="31" s="1"/>
  <c r="P55" i="31" s="1"/>
  <c r="H59" i="31"/>
  <c r="D92" i="31" s="1"/>
  <c r="J60" i="31"/>
  <c r="E91" i="31" s="1"/>
  <c r="J59" i="31"/>
  <c r="E92" i="31" s="1"/>
  <c r="I60" i="31"/>
  <c r="I59" i="31"/>
  <c r="H60" i="31"/>
  <c r="D91" i="31" s="1"/>
  <c r="G60" i="31"/>
  <c r="G59" i="31"/>
  <c r="O10" i="31"/>
  <c r="P26" i="31" s="1"/>
  <c r="I85" i="40"/>
  <c r="I84" i="40"/>
  <c r="I86" i="40"/>
  <c r="I87" i="40"/>
  <c r="I82" i="40"/>
  <c r="I83" i="40"/>
  <c r="J82" i="40"/>
  <c r="J84" i="40"/>
  <c r="J83" i="40"/>
  <c r="J85" i="40"/>
  <c r="J86" i="40"/>
  <c r="J87" i="40"/>
  <c r="O11" i="31"/>
  <c r="P27" i="31" s="1"/>
  <c r="T85" i="40"/>
  <c r="T84" i="40"/>
  <c r="T82" i="40"/>
  <c r="P32" i="31" l="1"/>
  <c r="P54" i="31"/>
  <c r="D94" i="31"/>
  <c r="E93" i="31"/>
  <c r="D93" i="31"/>
  <c r="E94" i="31"/>
  <c r="P39" i="31"/>
  <c r="P47" i="31"/>
  <c r="P33" i="31"/>
  <c r="P41" i="31"/>
  <c r="P49" i="31"/>
  <c r="P35" i="31"/>
  <c r="P43" i="31"/>
  <c r="P51" i="31"/>
  <c r="P37" i="31"/>
  <c r="P45" i="31"/>
  <c r="P53" i="31"/>
  <c r="P40" i="31"/>
  <c r="P48" i="31"/>
  <c r="P34" i="31"/>
  <c r="P42" i="31"/>
  <c r="P50" i="31"/>
  <c r="P36" i="31"/>
  <c r="P44" i="31"/>
  <c r="P52" i="31"/>
  <c r="P38" i="31"/>
  <c r="P46" i="31"/>
  <c r="O13" i="31"/>
  <c r="Q27" i="31" s="1"/>
  <c r="O12" i="31"/>
  <c r="Q26" i="31" s="1"/>
  <c r="P12" i="31"/>
  <c r="Q54" i="31" s="1"/>
  <c r="Q12" i="31"/>
  <c r="Q59" i="31" s="1"/>
  <c r="P13" i="31"/>
  <c r="Q55" i="31" s="1"/>
  <c r="P59" i="31"/>
  <c r="P20" i="31"/>
  <c r="P22" i="31"/>
  <c r="P18" i="31"/>
  <c r="P24" i="31"/>
  <c r="P60" i="31"/>
  <c r="P19" i="31"/>
  <c r="P21" i="31"/>
  <c r="P23" i="31"/>
  <c r="P25" i="31"/>
  <c r="M91" i="31" l="1"/>
  <c r="M92" i="31"/>
  <c r="N91" i="31"/>
  <c r="N92" i="31"/>
  <c r="Q44" i="31"/>
  <c r="Q38" i="31"/>
  <c r="Q46" i="31"/>
  <c r="Q32" i="31"/>
  <c r="Q40" i="31"/>
  <c r="Q48" i="31"/>
  <c r="Q34" i="31"/>
  <c r="Q42" i="31"/>
  <c r="Q50" i="31"/>
  <c r="Q36" i="31"/>
  <c r="Q52" i="31"/>
  <c r="Q39" i="31"/>
  <c r="Q47" i="31"/>
  <c r="Q33" i="31"/>
  <c r="Q41" i="31"/>
  <c r="Q49" i="31"/>
  <c r="Q35" i="31"/>
  <c r="Q43" i="31"/>
  <c r="Q51" i="31"/>
  <c r="Q37" i="31"/>
  <c r="Q45" i="31"/>
  <c r="Q53" i="31"/>
  <c r="Q23" i="31"/>
  <c r="Q25" i="31"/>
  <c r="Q21" i="31"/>
  <c r="Q19" i="31"/>
  <c r="Q20" i="31"/>
  <c r="Q18" i="31"/>
  <c r="Q22" i="31"/>
  <c r="Q24" i="31"/>
  <c r="I87" i="44" l="1"/>
  <c r="I83" i="44"/>
  <c r="I86" i="44"/>
  <c r="I84" i="44"/>
  <c r="I82" i="44"/>
  <c r="I85" i="44"/>
  <c r="J85" i="44"/>
  <c r="J86" i="44"/>
  <c r="J84" i="44"/>
  <c r="J87" i="44"/>
  <c r="J83" i="44"/>
  <c r="J82" i="44"/>
</calcChain>
</file>

<file path=xl/sharedStrings.xml><?xml version="1.0" encoding="utf-8"?>
<sst xmlns="http://schemas.openxmlformats.org/spreadsheetml/2006/main" count="1722" uniqueCount="423">
  <si>
    <t>Final Risk Evaluation for Trichloroethylene
Supplemental Information File:
Risk Calculator for Occupational Exposures
November 2020</t>
  </si>
  <si>
    <t>Table of Contents</t>
  </si>
  <si>
    <t>Worksheet</t>
  </si>
  <si>
    <t>Description</t>
  </si>
  <si>
    <t>Dashboard</t>
  </si>
  <si>
    <t>This tab calculates and displays inhalation MOE values by occupational exposure scenario, type of worker, and type of respiratory protection (based on user selection)</t>
  </si>
  <si>
    <t>RR</t>
  </si>
  <si>
    <t>This tab displays the risk reduction/management options for inhalation and dermal routes (based on user selection in "Dashboard" tab)</t>
  </si>
  <si>
    <t>RR &lt;PEL</t>
  </si>
  <si>
    <t xml:space="preserve">Same tab as the RR tab above except the inhalation data has been limited to samples beneath the PEL for TCE. </t>
  </si>
  <si>
    <t>Health Data</t>
  </si>
  <si>
    <t>This tab displays the established dermal and inhalation risks for human toxicity endpoints and the associated MOE.</t>
  </si>
  <si>
    <t>Dermal Exposure</t>
  </si>
  <si>
    <t>This tab contains the dermal exposure estimates for the selected occupational exposure scenario (dose)</t>
  </si>
  <si>
    <t>Inhalation Exposure</t>
  </si>
  <si>
    <t>This tab contains the inhalation exposure estimates for all occupational exposure scenarios (dose)</t>
  </si>
  <si>
    <t>Inhalation &lt;PEL</t>
  </si>
  <si>
    <t xml:space="preserve">The same tab as Inhalation Exposure above except the inhalation data has been limited to samples beneath the PEL for TCE. </t>
  </si>
  <si>
    <t>Trichloroethylene Risk Calculator User Guide</t>
  </si>
  <si>
    <t>Introduction:</t>
  </si>
  <si>
    <t>The TCE Risk Calculator was generated to provide reviewers with snapshots of TCE risk based on various parameters.  Below is an overview of the tabs, their functions, and how they each relate to the “Dashboard” and “RR” tabs.</t>
  </si>
  <si>
    <t>Dashboard:</t>
  </si>
  <si>
    <t>This is the main overview tab that showcases the risk associated with a selected occupational exposure scenario.  The user can select from the following selectors:</t>
  </si>
  <si>
    <r>
      <t>Occupational Exposure Scenario (OES):</t>
    </r>
    <r>
      <rPr>
        <sz val="11"/>
        <color rgb="FF000000"/>
        <rFont val="Calibri"/>
        <family val="2"/>
        <scheme val="minor"/>
      </rPr>
      <t xml:space="preserve"> choose the work activity, such as Manufacturing or Cold Cleaning</t>
    </r>
  </si>
  <si>
    <r>
      <t>Data Type:</t>
    </r>
    <r>
      <rPr>
        <sz val="11"/>
        <color rgb="FF000000"/>
        <rFont val="Calibri"/>
        <family val="2"/>
        <scheme val="minor"/>
      </rPr>
      <t xml:space="preserve"> choose Monitoring Data or Modeled Data</t>
    </r>
  </si>
  <si>
    <r>
      <t>HEC Level:</t>
    </r>
    <r>
      <rPr>
        <sz val="11"/>
        <color rgb="FF000000"/>
        <rFont val="Calibri"/>
        <family val="2"/>
        <scheme val="minor"/>
      </rPr>
      <t xml:space="preserve"> choose 50</t>
    </r>
    <r>
      <rPr>
        <vertAlign val="superscript"/>
        <sz val="11"/>
        <color rgb="FF000000"/>
        <rFont val="Calibri"/>
        <family val="2"/>
        <scheme val="minor"/>
      </rPr>
      <t>th</t>
    </r>
    <r>
      <rPr>
        <sz val="11"/>
        <color rgb="FF000000"/>
        <rFont val="Calibri"/>
        <family val="2"/>
        <scheme val="minor"/>
      </rPr>
      <t xml:space="preserve"> or 99</t>
    </r>
    <r>
      <rPr>
        <vertAlign val="superscript"/>
        <sz val="11"/>
        <color rgb="FF000000"/>
        <rFont val="Calibri"/>
        <family val="2"/>
        <scheme val="minor"/>
      </rPr>
      <t>th</t>
    </r>
    <r>
      <rPr>
        <sz val="11"/>
        <color rgb="FF000000"/>
        <rFont val="Calibri"/>
        <family val="2"/>
        <scheme val="minor"/>
      </rPr>
      <t xml:space="preserve"> percentile estimates of the human equivalent concentration (HEC)</t>
    </r>
  </si>
  <si>
    <r>
      <t>Respirator Protection Factor:</t>
    </r>
    <r>
      <rPr>
        <sz val="11"/>
        <color rgb="FF000000"/>
        <rFont val="Calibri"/>
        <family val="2"/>
        <scheme val="minor"/>
      </rPr>
      <t xml:space="preserve"> choose the level of respiratory protection (the calculator automatically shows no respiratory protection alongside this selection).</t>
    </r>
  </si>
  <si>
    <r>
      <t xml:space="preserve">Glove Protection Factor: </t>
    </r>
    <r>
      <rPr>
        <sz val="11"/>
        <color rgb="FF000000"/>
        <rFont val="Calibri"/>
        <family val="2"/>
        <scheme val="minor"/>
      </rPr>
      <t>choose the level of dermal hand protection (the calculator automatically shows no glove and occluded scenarios alongside this selection).</t>
    </r>
  </si>
  <si>
    <r>
      <t>Worker Type:</t>
    </r>
    <r>
      <rPr>
        <sz val="11"/>
        <color rgb="FF000000"/>
        <rFont val="Calibri"/>
        <family val="2"/>
        <scheme val="minor"/>
      </rPr>
      <t xml:space="preserve"> choose the worker type.</t>
    </r>
  </si>
  <si>
    <r>
      <t>HED Level:</t>
    </r>
    <r>
      <rPr>
        <sz val="11"/>
        <color rgb="FF000000"/>
        <rFont val="Calibri"/>
        <family val="2"/>
        <scheme val="minor"/>
      </rPr>
      <t xml:space="preserve"> choose 50</t>
    </r>
    <r>
      <rPr>
        <vertAlign val="superscript"/>
        <sz val="11"/>
        <color rgb="FF000000"/>
        <rFont val="Calibri"/>
        <family val="2"/>
        <scheme val="minor"/>
      </rPr>
      <t>th</t>
    </r>
    <r>
      <rPr>
        <sz val="11"/>
        <color rgb="FF000000"/>
        <rFont val="Calibri"/>
        <family val="2"/>
        <scheme val="minor"/>
      </rPr>
      <t xml:space="preserve"> or 99</t>
    </r>
    <r>
      <rPr>
        <vertAlign val="superscript"/>
        <sz val="11"/>
        <color rgb="FF000000"/>
        <rFont val="Calibri"/>
        <family val="2"/>
        <scheme val="minor"/>
      </rPr>
      <t>th</t>
    </r>
    <r>
      <rPr>
        <sz val="11"/>
        <color rgb="FF000000"/>
        <rFont val="Calibri"/>
        <family val="2"/>
        <scheme val="minor"/>
      </rPr>
      <t xml:space="preserve"> percentile estimates of the human equivalent dose (HED)</t>
    </r>
  </si>
  <si>
    <t>The calculator will automatically display the associated data, showing acute; chronic, non-cancer; and chronic, cancer exposures for inhalation and dermal scenarios.  If data does not exist for a certain selection, it will show up as blank.  In situations where no results are shown, try adjusting the data type from modeled to monitoring data (or vice versa) as not all scenarios have both types available.</t>
  </si>
  <si>
    <t>The calculator takes the exposure outputs and compares this data to the HEC and MOE (Margin of Exposure) of studied toxic endpoints compiled in the “Health Data” tab.  Any exposure below the study’s listed MOE is flagged red and represents risk.</t>
  </si>
  <si>
    <t>Cancer risks are provided on a gradient to show risk of 1 in 10,000 up to 1 in 1,000,000.</t>
  </si>
  <si>
    <t>RR:</t>
  </si>
  <si>
    <t>The RR tab is very similar to the Dashboard tab but focuses on showing the risk across all levels of PPE.  Inhalation exposure risk is shown without a respirator, and with respirators of increasing protection factors of 10 to 10,000.  The same is done for dermal exposure risk, providing occluded, no gloves, and gloved scenarios side by side.  The parameters are tied to the selections made in the Dashboard tab, except for the worker type.</t>
  </si>
  <si>
    <r>
      <rPr>
        <b/>
        <sz val="11"/>
        <color theme="1"/>
        <rFont val="Calibri"/>
        <family val="2"/>
        <scheme val="minor"/>
      </rPr>
      <t>Worker Type:</t>
    </r>
    <r>
      <rPr>
        <sz val="11"/>
        <color theme="1"/>
        <rFont val="Calibri"/>
        <family val="2"/>
        <scheme val="minor"/>
      </rPr>
      <t xml:space="preserve"> choose the worker type - choose ONU or Worker</t>
    </r>
  </si>
  <si>
    <t xml:space="preserve">The “RR” tab has a similar layout to the “Dashboard” tab but is tweaked to allow for the information discussed above to be clearly shown.  The "RR &lt;PEL" tab is the same as the "RR" tab except the data has been limited to datapoints beneath the PEL.  </t>
  </si>
  <si>
    <t>RR &lt;PEL:</t>
  </si>
  <si>
    <r>
      <t>This tab is the exact same as the "RR" tab except the datapoints used are only those that were less than the OSHA PEL of 100 ppm (537 mg/m</t>
    </r>
    <r>
      <rPr>
        <vertAlign val="superscript"/>
        <sz val="11"/>
        <color rgb="FF000000"/>
        <rFont val="Calibri"/>
        <family val="2"/>
        <scheme val="minor"/>
      </rPr>
      <t>3</t>
    </r>
    <r>
      <rPr>
        <sz val="11"/>
        <color rgb="FF000000"/>
        <rFont val="Calibri"/>
        <family val="2"/>
        <scheme val="minor"/>
      </rPr>
      <t>).</t>
    </r>
  </si>
  <si>
    <t>Health Data:</t>
  </si>
  <si>
    <t>This tab holds the lookup values for the health endpoints across acute; chronic, non-cancer; and chronic, cancer exposures.  Both “Dashboard” and “RR” tabs lookup data from this table for the various corresponding health endpoints displayed on the respective tabs.</t>
  </si>
  <si>
    <t>Dermal Crosswalk:</t>
  </si>
  <si>
    <t>This tab is a helper tab to the Dermal Exposure tab.  This tab provides information on the bin, TCE concentration, occlusion consideration, and fraction absorbed for each occupational exposure scenario</t>
  </si>
  <si>
    <t>Dermal Exposure:</t>
  </si>
  <si>
    <t>This tab calculates the dermal exposures for the “Dashboard” and “RR” tabs based on the criteria selected in the respective tabs while looking up occupational exposure scenario specific data from the dermal crosswalk tab.</t>
  </si>
  <si>
    <t>Inhalation Exposure:</t>
  </si>
  <si>
    <t>This is a data table that was generated from all the inhalation data compiled from the various monitoring sources as well as inhalation exposure models.  The monitoring data is compiled in a separate spreadsheet titled TCE ADC_LADC Exposure Calcs_7.31.19.xlsx where the acute; chronic, non-cancer; and chronic, cancer calculations are all performed.  This data is then hard entered into the “Inhalation Exposure” tab for reference by the calculator.  The "Inhalation &lt;PEL" is similar, except this data was limited to data points beneath the PEL.</t>
  </si>
  <si>
    <t>Inhalation &lt; PEL:</t>
  </si>
  <si>
    <t>This tab is the exact same as the "Inhalation Exposure" tab except the datapoints used are only those that were less than the OSHA PEL of 100 ppm (537 mg/m3).</t>
  </si>
  <si>
    <t>List Values:</t>
  </si>
  <si>
    <t>Exposure Factors:</t>
  </si>
  <si>
    <t xml:space="preserve">This is a data table that was generated from all the inhalation data compiled from the various monitoring sources as well as inhalation exposure models.  The monitoring data is compiled in a separate spreadsheet titled TCE ADC_LADC Exposure Calcs_7.31.19.xlsx where the acute; chronic, non-cancer; and chronic, cancer calculations are all performed.  This data is then hard entered into the “Inhalation Exposure” tab for reference by the calculator. </t>
  </si>
  <si>
    <t>Occupational Exposure Scenario (OES)</t>
  </si>
  <si>
    <t>Personal Protective Equipment (PPE)</t>
  </si>
  <si>
    <t>Dermal</t>
  </si>
  <si>
    <t>Occupational Exposure Scenario (select)</t>
  </si>
  <si>
    <t>Data Type
(select)</t>
  </si>
  <si>
    <t>HEC Level
(select)</t>
  </si>
  <si>
    <t>Respirator Protection Factor (Select)</t>
  </si>
  <si>
    <t>Glove Protection Factor (Select)</t>
  </si>
  <si>
    <t>Worker Type
(select)</t>
  </si>
  <si>
    <t>HED Level
(select)</t>
  </si>
  <si>
    <t>Commercial Printing and Copying</t>
  </si>
  <si>
    <t>Monitoring Data</t>
  </si>
  <si>
    <t>Average Adult Worker</t>
  </si>
  <si>
    <t>8-hr and 12-hr TWA Exposures</t>
  </si>
  <si>
    <t>Exposure Outputs</t>
  </si>
  <si>
    <t>Category</t>
  </si>
  <si>
    <t>Exposure Level</t>
  </si>
  <si>
    <t>Full-Shift (Eight-Hour) TWA Exposure</t>
  </si>
  <si>
    <t>Acute Exposures</t>
  </si>
  <si>
    <t>Acute Exposure: Occupational</t>
  </si>
  <si>
    <t>Chronic, Non-Cancer Exposures</t>
  </si>
  <si>
    <t>Chronic, Non-Cancer Exposure: Occupational</t>
  </si>
  <si>
    <t>Chronic, Cancer Exposures</t>
  </si>
  <si>
    <t>Acute Potential Dose Rate</t>
  </si>
  <si>
    <t>Acute Retained Dose</t>
  </si>
  <si>
    <t>Chronic Retained Dose, Non-Cancer</t>
  </si>
  <si>
    <t>Chronic Retained Dose, Cancer</t>
  </si>
  <si>
    <r>
      <t>C</t>
    </r>
    <r>
      <rPr>
        <b/>
        <vertAlign val="subscript"/>
        <sz val="10"/>
        <rFont val="Calibri"/>
        <family val="2"/>
        <scheme val="minor"/>
      </rPr>
      <t>TCE, 8 or 12-hr TWA</t>
    </r>
    <r>
      <rPr>
        <b/>
        <sz val="10"/>
        <rFont val="Calibri"/>
        <family val="2"/>
        <scheme val="minor"/>
      </rPr>
      <t xml:space="preserve"> (ppm)</t>
    </r>
  </si>
  <si>
    <r>
      <t>AC</t>
    </r>
    <r>
      <rPr>
        <b/>
        <vertAlign val="subscript"/>
        <sz val="10"/>
        <rFont val="Calibri"/>
        <family val="2"/>
        <scheme val="minor"/>
      </rPr>
      <t>TCE, 24-hr TWA</t>
    </r>
    <r>
      <rPr>
        <b/>
        <sz val="10"/>
        <rFont val="Calibri"/>
        <family val="2"/>
        <scheme val="minor"/>
      </rPr>
      <t xml:space="preserve"> (ppm)</t>
    </r>
  </si>
  <si>
    <r>
      <t>AC</t>
    </r>
    <r>
      <rPr>
        <b/>
        <vertAlign val="subscript"/>
        <sz val="10"/>
        <rFont val="Calibri"/>
        <family val="2"/>
        <scheme val="minor"/>
      </rPr>
      <t>TCE, 8 or 12-hr TWA</t>
    </r>
    <r>
      <rPr>
        <b/>
        <sz val="10"/>
        <rFont val="Calibri"/>
        <family val="2"/>
        <scheme val="minor"/>
      </rPr>
      <t xml:space="preserve"> (ppm)</t>
    </r>
  </si>
  <si>
    <r>
      <t>ADC</t>
    </r>
    <r>
      <rPr>
        <b/>
        <vertAlign val="subscript"/>
        <sz val="10"/>
        <rFont val="Calibri"/>
        <family val="2"/>
        <scheme val="minor"/>
      </rPr>
      <t>TCE, 24-hr TWA</t>
    </r>
    <r>
      <rPr>
        <b/>
        <sz val="10"/>
        <rFont val="Calibri"/>
        <family val="2"/>
        <scheme val="minor"/>
      </rPr>
      <t xml:space="preserve"> (ppm)</t>
    </r>
  </si>
  <si>
    <r>
      <t>ADC</t>
    </r>
    <r>
      <rPr>
        <b/>
        <vertAlign val="subscript"/>
        <sz val="10"/>
        <rFont val="Calibri"/>
        <family val="2"/>
        <scheme val="minor"/>
      </rPr>
      <t>TCE, 8 or 12-hr TWA</t>
    </r>
    <r>
      <rPr>
        <b/>
        <sz val="10"/>
        <rFont val="Calibri"/>
        <family val="2"/>
        <scheme val="minor"/>
      </rPr>
      <t xml:space="preserve"> (ppm)</t>
    </r>
  </si>
  <si>
    <r>
      <t>LADC</t>
    </r>
    <r>
      <rPr>
        <b/>
        <vertAlign val="subscript"/>
        <sz val="10"/>
        <rFont val="Calibri"/>
        <family val="2"/>
        <scheme val="minor"/>
      </rPr>
      <t>TCE, 24-hr TWA</t>
    </r>
    <r>
      <rPr>
        <b/>
        <sz val="10"/>
        <rFont val="Calibri"/>
        <family val="2"/>
        <scheme val="minor"/>
      </rPr>
      <t xml:space="preserve"> (ppm)</t>
    </r>
  </si>
  <si>
    <r>
      <t>APDR</t>
    </r>
    <r>
      <rPr>
        <b/>
        <vertAlign val="subscript"/>
        <sz val="10"/>
        <color theme="1"/>
        <rFont val="Calibri"/>
        <family val="2"/>
        <scheme val="minor"/>
      </rPr>
      <t>exp</t>
    </r>
    <r>
      <rPr>
        <b/>
        <sz val="10"/>
        <color theme="1"/>
        <rFont val="Calibri"/>
        <family val="2"/>
        <scheme val="minor"/>
      </rPr>
      <t xml:space="preserve"> (mg/day)</t>
    </r>
  </si>
  <si>
    <r>
      <t>ARD</t>
    </r>
    <r>
      <rPr>
        <b/>
        <vertAlign val="subscript"/>
        <sz val="10"/>
        <rFont val="Calibri"/>
        <family val="2"/>
        <scheme val="minor"/>
      </rPr>
      <t>TCE</t>
    </r>
    <r>
      <rPr>
        <b/>
        <sz val="10"/>
        <rFont val="Calibri"/>
        <family val="2"/>
        <scheme val="minor"/>
      </rPr>
      <t xml:space="preserve"> (mg/kg-day)</t>
    </r>
  </si>
  <si>
    <r>
      <t>CRD</t>
    </r>
    <r>
      <rPr>
        <b/>
        <vertAlign val="subscript"/>
        <sz val="10"/>
        <rFont val="Calibri"/>
        <family val="2"/>
        <scheme val="minor"/>
      </rPr>
      <t>TCE</t>
    </r>
    <r>
      <rPr>
        <b/>
        <sz val="10"/>
        <rFont val="Calibri"/>
        <family val="2"/>
        <scheme val="minor"/>
      </rPr>
      <t xml:space="preserve"> (mg/kg-day)</t>
    </r>
  </si>
  <si>
    <t>Worker</t>
  </si>
  <si>
    <t>High End</t>
  </si>
  <si>
    <t>Worker, No Gloves</t>
  </si>
  <si>
    <t>ONU</t>
  </si>
  <si>
    <t>Central Tendency</t>
  </si>
  <si>
    <t>Risk Estimation for Acute, Non-Cancer Inhalation Exposures</t>
  </si>
  <si>
    <t>Risk Estimation for Acute, Non-Cancer Dermal Exposures</t>
  </si>
  <si>
    <t>Health Effect, Endpoint and Study</t>
  </si>
  <si>
    <t>HEC (ppm)</t>
  </si>
  <si>
    <t>Benchmark MOE 
(= Total UF)</t>
  </si>
  <si>
    <t>Acute Exposure Estimates</t>
  </si>
  <si>
    <t>Acute HED (mg/kg)</t>
  </si>
  <si>
    <t>Gloved Scenarios</t>
  </si>
  <si>
    <t>Worker MOE</t>
  </si>
  <si>
    <t>ONU MOE</t>
  </si>
  <si>
    <t>Worker MOE, No Gloves</t>
  </si>
  <si>
    <t>Tox1</t>
  </si>
  <si>
    <r>
      <rPr>
        <b/>
        <sz val="10"/>
        <rFont val="Calibri"/>
        <family val="2"/>
        <scheme val="minor"/>
      </rPr>
      <t>Developmental Toxicity</t>
    </r>
    <r>
      <rPr>
        <sz val="10"/>
        <rFont val="Calibri"/>
        <family val="2"/>
        <scheme val="minor"/>
      </rPr>
      <t xml:space="preserve">
Congenital heart malformations
Johnson et al., 2003</t>
    </r>
  </si>
  <si>
    <t>Central Tendancy</t>
  </si>
  <si>
    <t>Tox2</t>
  </si>
  <si>
    <r>
      <rPr>
        <b/>
        <sz val="10"/>
        <rFont val="Calibri"/>
        <family val="2"/>
        <scheme val="minor"/>
      </rPr>
      <t>Developmental Toxicity</t>
    </r>
    <r>
      <rPr>
        <sz val="10"/>
        <rFont val="Calibri"/>
        <family val="2"/>
        <scheme val="minor"/>
      </rPr>
      <t xml:space="preserve">
Developmental neurotoxicity
Fredriksson et al., 1993</t>
    </r>
  </si>
  <si>
    <t>Tox3</t>
  </si>
  <si>
    <r>
      <rPr>
        <b/>
        <sz val="10"/>
        <rFont val="Calibri"/>
        <family val="2"/>
        <scheme val="minor"/>
      </rPr>
      <t>Developmental Toxicity</t>
    </r>
    <r>
      <rPr>
        <sz val="10"/>
        <rFont val="Calibri"/>
        <family val="2"/>
        <scheme val="minor"/>
      </rPr>
      <t xml:space="preserve">
Pre- and postnatal mortality
Narotsky et al., 1995</t>
    </r>
  </si>
  <si>
    <t>Tox4</t>
  </si>
  <si>
    <r>
      <rPr>
        <b/>
        <sz val="10"/>
        <rFont val="Calibri"/>
        <family val="2"/>
        <scheme val="minor"/>
      </rPr>
      <t>Immunotoxicity</t>
    </r>
    <r>
      <rPr>
        <sz val="10"/>
        <rFont val="Calibri"/>
        <family val="2"/>
        <scheme val="minor"/>
      </rPr>
      <t xml:space="preserve">
Response to infection
Selgrade et al., 2010</t>
    </r>
  </si>
  <si>
    <t>Tox5</t>
  </si>
  <si>
    <r>
      <rPr>
        <b/>
        <sz val="10"/>
        <rFont val="Calibri"/>
        <family val="2"/>
        <scheme val="minor"/>
      </rPr>
      <t>Immunotoxicity (Occupational)</t>
    </r>
    <r>
      <rPr>
        <sz val="10"/>
        <rFont val="Calibri"/>
        <family val="2"/>
        <scheme val="minor"/>
      </rPr>
      <t xml:space="preserve">
Response to infection
Selgrade et al., 2010</t>
    </r>
  </si>
  <si>
    <t>Risk Estimation for Chronic, Non-Cancer Inhalation Exposures</t>
  </si>
  <si>
    <t>Risk Estimation for Chronic, Non-Cancer Dermal Exposures</t>
  </si>
  <si>
    <t>Chronic Exposure Estimates</t>
  </si>
  <si>
    <t>HED (mg/kg)</t>
  </si>
  <si>
    <t>Tox6</t>
  </si>
  <si>
    <r>
      <rPr>
        <b/>
        <sz val="10"/>
        <rFont val="Calibri"/>
        <family val="2"/>
        <scheme val="minor"/>
      </rPr>
      <t xml:space="preserve">Liver
</t>
    </r>
    <r>
      <rPr>
        <sz val="10"/>
        <rFont val="Calibri"/>
        <family val="2"/>
        <scheme val="minor"/>
      </rPr>
      <t>Increased liver weight, cytotoxicity, and hypertrophy</t>
    </r>
    <r>
      <rPr>
        <b/>
        <sz val="10"/>
        <rFont val="Calibri"/>
        <family val="2"/>
        <scheme val="minor"/>
      </rPr>
      <t xml:space="preserve">
</t>
    </r>
    <r>
      <rPr>
        <sz val="10"/>
        <rFont val="Calibri"/>
        <family val="2"/>
        <scheme val="minor"/>
      </rPr>
      <t>Kjellstrand et al. 1983</t>
    </r>
  </si>
  <si>
    <t>Tox7</t>
  </si>
  <si>
    <r>
      <rPr>
        <b/>
        <sz val="10"/>
        <rFont val="Calibri"/>
        <family val="2"/>
        <scheme val="minor"/>
      </rPr>
      <t xml:space="preserve">Kidney
</t>
    </r>
    <r>
      <rPr>
        <sz val="10"/>
        <rFont val="Calibri"/>
        <family val="2"/>
        <scheme val="minor"/>
      </rPr>
      <t>Kidney pathology
Maltoni, 1986 (Oral)</t>
    </r>
  </si>
  <si>
    <t>Tox8</t>
  </si>
  <si>
    <r>
      <rPr>
        <b/>
        <sz val="10"/>
        <rFont val="Calibri"/>
        <family val="2"/>
        <scheme val="minor"/>
      </rPr>
      <t xml:space="preserve">Neurotoxicity
</t>
    </r>
    <r>
      <rPr>
        <sz val="10"/>
        <rFont val="Calibri"/>
        <family val="2"/>
        <scheme val="minor"/>
      </rPr>
      <t>CNS depression
Arito et al., 1994</t>
    </r>
  </si>
  <si>
    <t>Tox9</t>
  </si>
  <si>
    <r>
      <rPr>
        <b/>
        <sz val="10"/>
        <rFont val="Calibri"/>
        <family val="2"/>
        <scheme val="minor"/>
      </rPr>
      <t xml:space="preserve">Neurotoxicity
</t>
    </r>
    <r>
      <rPr>
        <sz val="10"/>
        <rFont val="Calibri"/>
        <family val="2"/>
        <scheme val="minor"/>
      </rPr>
      <t>Trigeminal nerve effects
Ruijten et al., 1991</t>
    </r>
  </si>
  <si>
    <t>Tox10</t>
  </si>
  <si>
    <r>
      <rPr>
        <b/>
        <sz val="10"/>
        <rFont val="Calibri"/>
        <family val="2"/>
        <scheme val="minor"/>
      </rPr>
      <t xml:space="preserve">Reproductive Toxicity
</t>
    </r>
    <r>
      <rPr>
        <sz val="10"/>
        <rFont val="Calibri"/>
        <family val="2"/>
        <scheme val="minor"/>
      </rPr>
      <t>Male reproductive toxicity
Chia et al. 1996</t>
    </r>
  </si>
  <si>
    <t>Tox11</t>
  </si>
  <si>
    <r>
      <rPr>
        <b/>
        <sz val="10"/>
        <rFont val="Calibri"/>
        <family val="2"/>
        <scheme val="minor"/>
      </rPr>
      <t xml:space="preserve">Reproductive Toxicity
</t>
    </r>
    <r>
      <rPr>
        <sz val="10"/>
        <rFont val="Calibri"/>
        <family val="2"/>
        <scheme val="minor"/>
      </rPr>
      <t>Female reproductive toxicity
Narotsky et al., 1995</t>
    </r>
  </si>
  <si>
    <t>Tox12</t>
  </si>
  <si>
    <r>
      <rPr>
        <b/>
        <sz val="10"/>
        <rFont val="Calibri"/>
        <family val="2"/>
        <scheme val="minor"/>
      </rPr>
      <t xml:space="preserve">Developmental Toxicity
</t>
    </r>
    <r>
      <rPr>
        <sz val="10"/>
        <rFont val="Calibri"/>
        <family val="2"/>
        <scheme val="minor"/>
      </rPr>
      <t>Congenital defects</t>
    </r>
    <r>
      <rPr>
        <b/>
        <sz val="10"/>
        <rFont val="Calibri"/>
        <family val="2"/>
        <scheme val="minor"/>
      </rPr>
      <t xml:space="preserve">
</t>
    </r>
    <r>
      <rPr>
        <sz val="10"/>
        <rFont val="Calibri"/>
        <family val="2"/>
        <scheme val="minor"/>
      </rPr>
      <t>Johnson et al., 2003</t>
    </r>
  </si>
  <si>
    <t>Tox13</t>
  </si>
  <si>
    <r>
      <rPr>
        <b/>
        <sz val="10"/>
        <rFont val="Calibri"/>
        <family val="2"/>
        <scheme val="minor"/>
      </rPr>
      <t xml:space="preserve">Developmental Toxicity
</t>
    </r>
    <r>
      <rPr>
        <sz val="10"/>
        <rFont val="Calibri"/>
        <family val="2"/>
        <scheme val="minor"/>
      </rPr>
      <t>Developmental neurotoxicity</t>
    </r>
    <r>
      <rPr>
        <b/>
        <sz val="10"/>
        <rFont val="Calibri"/>
        <family val="2"/>
        <scheme val="minor"/>
      </rPr>
      <t xml:space="preserve">
</t>
    </r>
    <r>
      <rPr>
        <sz val="10"/>
        <rFont val="Calibri"/>
        <family val="2"/>
        <scheme val="minor"/>
      </rPr>
      <t>Fredriksson et al., 1993</t>
    </r>
  </si>
  <si>
    <t>Tox14</t>
  </si>
  <si>
    <r>
      <rPr>
        <b/>
        <sz val="10"/>
        <rFont val="Calibri"/>
        <family val="2"/>
        <scheme val="minor"/>
      </rPr>
      <t xml:space="preserve">Developmental Toxicity
</t>
    </r>
    <r>
      <rPr>
        <sz val="10"/>
        <rFont val="Calibri"/>
        <family val="2"/>
        <scheme val="minor"/>
      </rPr>
      <t>Pre- and postnatal mortality</t>
    </r>
    <r>
      <rPr>
        <b/>
        <sz val="10"/>
        <rFont val="Calibri"/>
        <family val="2"/>
        <scheme val="minor"/>
      </rPr>
      <t xml:space="preserve">
</t>
    </r>
    <r>
      <rPr>
        <sz val="10"/>
        <rFont val="Calibri"/>
        <family val="2"/>
        <scheme val="minor"/>
      </rPr>
      <t>Narotsky et al., 1995</t>
    </r>
  </si>
  <si>
    <t>Tox15</t>
  </si>
  <si>
    <r>
      <rPr>
        <b/>
        <sz val="10"/>
        <rFont val="Calibri"/>
        <family val="2"/>
        <scheme val="minor"/>
      </rPr>
      <t xml:space="preserve">Immunotoxicity
</t>
    </r>
    <r>
      <rPr>
        <sz val="10"/>
        <rFont val="Calibri"/>
        <family val="2"/>
        <scheme val="minor"/>
      </rPr>
      <t>Immunosuppression</t>
    </r>
    <r>
      <rPr>
        <b/>
        <sz val="10"/>
        <rFont val="Calibri"/>
        <family val="2"/>
        <scheme val="minor"/>
      </rPr>
      <t xml:space="preserve">
</t>
    </r>
    <r>
      <rPr>
        <sz val="10"/>
        <rFont val="Calibri"/>
        <family val="2"/>
        <scheme val="minor"/>
      </rPr>
      <t>Sanders et al., 1982</t>
    </r>
  </si>
  <si>
    <t>Tox16</t>
  </si>
  <si>
    <r>
      <rPr>
        <b/>
        <sz val="10"/>
        <rFont val="Calibri"/>
        <family val="2"/>
        <scheme val="minor"/>
      </rPr>
      <t xml:space="preserve">Immunotoxicity
</t>
    </r>
    <r>
      <rPr>
        <sz val="10"/>
        <rFont val="Calibri"/>
        <family val="2"/>
        <scheme val="minor"/>
      </rPr>
      <t>Autoimmunity
Keil et al., 2009</t>
    </r>
  </si>
  <si>
    <t>Tox17.</t>
  </si>
  <si>
    <r>
      <rPr>
        <b/>
        <sz val="10"/>
        <rFont val="Calibri"/>
        <family val="2"/>
        <scheme val="minor"/>
      </rPr>
      <t xml:space="preserve">Immunotoxicity (Occupational)
</t>
    </r>
    <r>
      <rPr>
        <sz val="10"/>
        <rFont val="Calibri"/>
        <family val="2"/>
        <scheme val="minor"/>
      </rPr>
      <t>Autoimmunity
Keil et al., 2009</t>
    </r>
  </si>
  <si>
    <t>Cancer Risks</t>
  </si>
  <si>
    <t>Chronic Cancer Exposure Estimates</t>
  </si>
  <si>
    <t>Risk Estimate</t>
  </si>
  <si>
    <r>
      <t>IUR (ppm</t>
    </r>
    <r>
      <rPr>
        <b/>
        <vertAlign val="superscript"/>
        <sz val="10"/>
        <color theme="1"/>
        <rFont val="Calibri"/>
        <family val="2"/>
        <scheme val="minor"/>
      </rPr>
      <t>-1</t>
    </r>
    <r>
      <rPr>
        <b/>
        <sz val="10"/>
        <color theme="1"/>
        <rFont val="Calibri"/>
        <family val="2"/>
        <scheme val="minor"/>
      </rPr>
      <t>)</t>
    </r>
  </si>
  <si>
    <t>Benchmark</t>
  </si>
  <si>
    <t xml:space="preserve">Worker </t>
  </si>
  <si>
    <t xml:space="preserve">ONU </t>
  </si>
  <si>
    <r>
      <t>OSP (mg/kg</t>
    </r>
    <r>
      <rPr>
        <b/>
        <vertAlign val="superscript"/>
        <sz val="10"/>
        <color theme="1"/>
        <rFont val="Calibri"/>
        <family val="2"/>
        <scheme val="minor"/>
      </rPr>
      <t>-1</t>
    </r>
    <r>
      <rPr>
        <b/>
        <sz val="10"/>
        <color theme="1"/>
        <rFont val="Calibri"/>
        <family val="2"/>
        <scheme val="minor"/>
      </rPr>
      <t>)</t>
    </r>
  </si>
  <si>
    <t>No Gloves</t>
  </si>
  <si>
    <t>Tox18</t>
  </si>
  <si>
    <r>
      <t xml:space="preserve">Cancer
</t>
    </r>
    <r>
      <rPr>
        <sz val="10"/>
        <rFont val="Calibri"/>
        <family val="2"/>
        <scheme val="minor"/>
      </rPr>
      <t>Liver, Kidney, NHL
Charbotel et al., 2006 (adjusted)</t>
    </r>
  </si>
  <si>
    <r>
      <t>10</t>
    </r>
    <r>
      <rPr>
        <vertAlign val="superscript"/>
        <sz val="10"/>
        <color theme="1"/>
        <rFont val="Calibri"/>
        <family val="2"/>
        <scheme val="minor"/>
      </rPr>
      <t>-4</t>
    </r>
  </si>
  <si>
    <t>Inhalation Cancer Risk Estimates</t>
  </si>
  <si>
    <t>Cancer Risk</t>
  </si>
  <si>
    <t>Dermal Cancer Risk Estimates</t>
  </si>
  <si>
    <t>ONU: 50th Percentile</t>
  </si>
  <si>
    <t>ONU: 95th Percentile</t>
  </si>
  <si>
    <t>Worker: 50th Percentile</t>
  </si>
  <si>
    <t>Worker: 95th Percentile</t>
  </si>
  <si>
    <t>OES</t>
  </si>
  <si>
    <t>Data Type</t>
  </si>
  <si>
    <t>HEC Level</t>
  </si>
  <si>
    <t>Exposure Type
(select)</t>
  </si>
  <si>
    <t>Worker Type</t>
  </si>
  <si>
    <t>HED Level</t>
  </si>
  <si>
    <t>Risk Estimation for Inhalation Exposures</t>
  </si>
  <si>
    <t>Risk Estimation for Dermal Exposures</t>
  </si>
  <si>
    <t>Risk Type</t>
  </si>
  <si>
    <t>Toxicity Endpoint</t>
  </si>
  <si>
    <t>Study</t>
  </si>
  <si>
    <t>No Respirator</t>
  </si>
  <si>
    <t>APF = 10</t>
  </si>
  <si>
    <t>APF = 25</t>
  </si>
  <si>
    <t>APF = 50</t>
  </si>
  <si>
    <t>APF = 1,000</t>
  </si>
  <si>
    <t>APF = 10,000</t>
  </si>
  <si>
    <t>PF = 5</t>
  </si>
  <si>
    <t>PF = 10</t>
  </si>
  <si>
    <t>PF = 20</t>
  </si>
  <si>
    <t>Acute, Non-Cancer</t>
  </si>
  <si>
    <t>Developmental Toxicity</t>
  </si>
  <si>
    <t>Congenital heart malformations</t>
  </si>
  <si>
    <t>Johnson et al., 2003</t>
  </si>
  <si>
    <t>Developmental neurotoxicity</t>
  </si>
  <si>
    <t>Fredriksson et al., 1993</t>
  </si>
  <si>
    <t>Pre- and postnatal mortality</t>
  </si>
  <si>
    <t>Narotsky et al., 1995</t>
  </si>
  <si>
    <t>Immunotoxicity</t>
  </si>
  <si>
    <t>Response to infection</t>
  </si>
  <si>
    <t>Selgrade et al., 2010</t>
  </si>
  <si>
    <t>Response to infection (occupational)</t>
  </si>
  <si>
    <t>Chronic, Non-Cancer</t>
  </si>
  <si>
    <t>Liver</t>
  </si>
  <si>
    <t>Increased liver weight, cytotoxicity, and hypertrophy</t>
  </si>
  <si>
    <t>Kjellstrand et al. 1983</t>
  </si>
  <si>
    <t>Kidney</t>
  </si>
  <si>
    <t>Kidney pathology</t>
  </si>
  <si>
    <t>Maltoni, 1986 (Oral)</t>
  </si>
  <si>
    <t>Neurotoxicity</t>
  </si>
  <si>
    <t>CNS depression</t>
  </si>
  <si>
    <t>Arito et al., 1994</t>
  </si>
  <si>
    <t>Trigeminal nerve effects</t>
  </si>
  <si>
    <t>Ruijten et al., 1991</t>
  </si>
  <si>
    <t>Reproductive 
Toxicity</t>
  </si>
  <si>
    <t>Male reproductive toxicity</t>
  </si>
  <si>
    <t>Chia et al. 1996</t>
  </si>
  <si>
    <t>Female reproductive toxicity</t>
  </si>
  <si>
    <t>Congenital defects</t>
  </si>
  <si>
    <t>Immunosuppression</t>
  </si>
  <si>
    <t>Sanders et al., 1982</t>
  </si>
  <si>
    <t>Autoimmunity</t>
  </si>
  <si>
    <t>Keil et al., 2009</t>
  </si>
  <si>
    <t>Tox17</t>
  </si>
  <si>
    <t>Autoimmunity (Occupational)</t>
  </si>
  <si>
    <t>Chronic, Cancer</t>
  </si>
  <si>
    <t>Cancer</t>
  </si>
  <si>
    <t>Kidney, liver, NHL</t>
  </si>
  <si>
    <t>Charbotel et al., 2006 (adjusted)</t>
  </si>
  <si>
    <r>
      <t>10</t>
    </r>
    <r>
      <rPr>
        <b/>
        <vertAlign val="superscript"/>
        <sz val="10"/>
        <color theme="1"/>
        <rFont val="Calibri"/>
        <family val="2"/>
        <scheme val="minor"/>
      </rPr>
      <t>-4</t>
    </r>
  </si>
  <si>
    <t>No Gloves (PF = 1)</t>
  </si>
  <si>
    <t>Protective Gloves (PF = 5)</t>
  </si>
  <si>
    <t>Protective Gloves 
(Commercial uses, PF = 10)</t>
  </si>
  <si>
    <t>=</t>
  </si>
  <si>
    <t>Protective Gloves 
(Industrial uses, PF = 20)</t>
  </si>
  <si>
    <t>Note: This table only uses monitoring data that is below the OSHA PEL and only shows values that vary from the RR tab.</t>
  </si>
  <si>
    <t>Look-up Values and Risk Parameter Values</t>
  </si>
  <si>
    <t>All values are adjusted to match 24hr exposure</t>
  </si>
  <si>
    <t>Inhalation</t>
  </si>
  <si>
    <t>Acute and Chronic, Non-Cancer Parameters</t>
  </si>
  <si>
    <t>Cancer Parameters</t>
  </si>
  <si>
    <t>Look-up Table Values</t>
  </si>
  <si>
    <t>Code</t>
  </si>
  <si>
    <t>HEC50 (ppm)</t>
  </si>
  <si>
    <t>HEC99 (ppm)</t>
  </si>
  <si>
    <t>HED50 (mg/kg)</t>
  </si>
  <si>
    <t>HED99 (mg/kg)</t>
  </si>
  <si>
    <t>Benchmark MOE</t>
  </si>
  <si>
    <r>
      <t>IUR (ppm</t>
    </r>
    <r>
      <rPr>
        <b/>
        <vertAlign val="superscript"/>
        <sz val="11"/>
        <color theme="1"/>
        <rFont val="Calibri"/>
        <family val="2"/>
        <scheme val="minor"/>
      </rPr>
      <t>-1</t>
    </r>
    <r>
      <rPr>
        <b/>
        <sz val="11"/>
        <color theme="1"/>
        <rFont val="Calibri"/>
        <family val="2"/>
        <scheme val="minor"/>
      </rPr>
      <t>)</t>
    </r>
  </si>
  <si>
    <r>
      <t>OSP (mg/kg</t>
    </r>
    <r>
      <rPr>
        <b/>
        <vertAlign val="superscript"/>
        <sz val="11"/>
        <color theme="1"/>
        <rFont val="Calibri"/>
        <family val="2"/>
        <scheme val="minor"/>
      </rPr>
      <t>-1</t>
    </r>
    <r>
      <rPr>
        <b/>
        <sz val="11"/>
        <color theme="1"/>
        <rFont val="Calibri"/>
        <family val="2"/>
        <scheme val="minor"/>
      </rPr>
      <t>)</t>
    </r>
  </si>
  <si>
    <t>HEC/HED Percentiles</t>
  </si>
  <si>
    <t>Exposure Percentiles</t>
  </si>
  <si>
    <t>Target Cancer Risk Level</t>
  </si>
  <si>
    <t>--</t>
  </si>
  <si>
    <t>HEC99</t>
  </si>
  <si>
    <t>Developmental Neurotoxicity</t>
  </si>
  <si>
    <t>HEC50</t>
  </si>
  <si>
    <t>Pre- and Postnatal Mortality</t>
  </si>
  <si>
    <t>HED99</t>
  </si>
  <si>
    <t>Response to infection (occupational 8-hr)</t>
  </si>
  <si>
    <t>Tox5.8</t>
  </si>
  <si>
    <t>Response to infection (occupational 12-hr)</t>
  </si>
  <si>
    <t>Tox5.12</t>
  </si>
  <si>
    <t>HED50</t>
  </si>
  <si>
    <r>
      <rPr>
        <sz val="10"/>
        <color theme="1"/>
        <rFont val="Calibri"/>
        <family val="2"/>
        <scheme val="minor"/>
      </rPr>
      <t>(Selgrade POD is not PBPK modeled)</t>
    </r>
    <r>
      <rPr>
        <sz val="11"/>
        <color theme="1"/>
        <rFont val="Calibri"/>
        <family val="2"/>
        <scheme val="minor"/>
      </rPr>
      <t xml:space="preserve"> </t>
    </r>
  </si>
  <si>
    <t>Male Reproductive Toxicity</t>
  </si>
  <si>
    <t>HEC conversion factor</t>
  </si>
  <si>
    <t>Female Reproductive Toxicity</t>
  </si>
  <si>
    <t>ppm/mg/m3</t>
  </si>
  <si>
    <t>Congenital Defects</t>
  </si>
  <si>
    <t>TCE MW</t>
  </si>
  <si>
    <t>g/mol</t>
  </si>
  <si>
    <t>Molar Volume</t>
  </si>
  <si>
    <t>L/mol</t>
  </si>
  <si>
    <t>Autoimmunity (occupational 8-hr)</t>
  </si>
  <si>
    <t>Tox17.8</t>
  </si>
  <si>
    <t>Autoimmunity (occupational 12-hr)</t>
  </si>
  <si>
    <t>Tox17.12</t>
  </si>
  <si>
    <t>Look-up Name</t>
  </si>
  <si>
    <t>Bin</t>
  </si>
  <si>
    <t>Max Yderm</t>
  </si>
  <si>
    <t>Occlusion Considered?</t>
  </si>
  <si>
    <r>
      <t>Fraction Absorbed, f</t>
    </r>
    <r>
      <rPr>
        <b/>
        <vertAlign val="subscript"/>
        <sz val="11"/>
        <color theme="1"/>
        <rFont val="Calibri"/>
        <family val="2"/>
        <scheme val="minor"/>
      </rPr>
      <t>abs</t>
    </r>
  </si>
  <si>
    <t>Occluded Fraction Absorbed</t>
  </si>
  <si>
    <t>Manufacturing</t>
  </si>
  <si>
    <t>No</t>
  </si>
  <si>
    <t>Processing as a Reactant</t>
  </si>
  <si>
    <t>Industrial Processing Aid (12-hr)</t>
  </si>
  <si>
    <t>Industrial Processing Aid</t>
  </si>
  <si>
    <t>Formulation of Aerosol and Non-Aerosol Products</t>
  </si>
  <si>
    <t>Repackaging</t>
  </si>
  <si>
    <t>Process Solvent Recycling and Worker Handling of Wastes</t>
  </si>
  <si>
    <t>Other Industrial Uses</t>
  </si>
  <si>
    <t>Batch Open Top Vapor Degreasing</t>
  </si>
  <si>
    <t>Batch Open Top Vapor Degreasing</t>
  </si>
  <si>
    <t>Yes</t>
  </si>
  <si>
    <t>Batch Open Top Vapor Degreasing (12-hr)</t>
  </si>
  <si>
    <t>Batch Open Top Vapor Degreasing (12-hr)</t>
  </si>
  <si>
    <t>Batch Closed-Loop Vapor Degreasing Systems</t>
  </si>
  <si>
    <t>Conveyorized Vapor Degreasing</t>
  </si>
  <si>
    <t>Web Vapor Degreasing</t>
  </si>
  <si>
    <t>Cold Cleaning</t>
  </si>
  <si>
    <t>Aerosol Applications: Spray Degreasing/Cleaning, Automotive Brake and Parts Cleaners, Penetrating Lubricants, and Mold Releases</t>
  </si>
  <si>
    <t>Adhesives, Sealants, Paints, and Coatings (Industrial)</t>
  </si>
  <si>
    <t>Adhesives, Sealants, Paints, and Coatings (Commercial)</t>
  </si>
  <si>
    <t>Spot Cleaning, Wipe Cleaning and Carpet Cleaning (12-hr)</t>
  </si>
  <si>
    <t>Spot Cleaning, Wipe Cleaning and Carpet Cleaning</t>
  </si>
  <si>
    <t>Spot Cleaning</t>
  </si>
  <si>
    <t>Wipe Cleaning</t>
  </si>
  <si>
    <t>Carpet Cleaning</t>
  </si>
  <si>
    <t>Other Commercial Uses</t>
  </si>
  <si>
    <t>Metalworking Fluids</t>
  </si>
  <si>
    <t>For Dashboard</t>
  </si>
  <si>
    <t>Dermal Calculation Numbers</t>
  </si>
  <si>
    <t>Calculated Doses</t>
  </si>
  <si>
    <t>Exposure Category</t>
  </si>
  <si>
    <r>
      <t>Max Y</t>
    </r>
    <r>
      <rPr>
        <b/>
        <vertAlign val="subscript"/>
        <sz val="11"/>
        <color rgb="FF000000"/>
        <rFont val="Calibri"/>
        <family val="2"/>
        <scheme val="minor"/>
      </rPr>
      <t>derm</t>
    </r>
  </si>
  <si>
    <r>
      <t>Calculated Fraction Absorbed, F</t>
    </r>
    <r>
      <rPr>
        <vertAlign val="subscript"/>
        <sz val="11"/>
        <color theme="1"/>
        <rFont val="Calibri"/>
        <family val="2"/>
        <scheme val="minor"/>
      </rPr>
      <t>abs</t>
    </r>
  </si>
  <si>
    <t>Exposure Frequency (EF)
(days/yr)</t>
  </si>
  <si>
    <t>Exposure Frequency (FT)
(event/day)</t>
  </si>
  <si>
    <r>
      <t>2-Hand Surface Area (cm</t>
    </r>
    <r>
      <rPr>
        <b/>
        <vertAlign val="superscript"/>
        <sz val="11"/>
        <color theme="1"/>
        <rFont val="Calibri"/>
        <family val="2"/>
        <scheme val="minor"/>
      </rPr>
      <t>2</t>
    </r>
    <r>
      <rPr>
        <b/>
        <sz val="11"/>
        <color theme="1"/>
        <rFont val="Calibri"/>
        <family val="2"/>
        <scheme val="minor"/>
      </rPr>
      <t>)</t>
    </r>
  </si>
  <si>
    <t>Body Weight (kg)</t>
  </si>
  <si>
    <r>
      <t>Quantity Remaining on Skin (Qu) 
(mg/cm</t>
    </r>
    <r>
      <rPr>
        <b/>
        <vertAlign val="superscript"/>
        <sz val="11"/>
        <color theme="1"/>
        <rFont val="Calibri"/>
        <family val="2"/>
        <scheme val="minor"/>
      </rPr>
      <t>2</t>
    </r>
    <r>
      <rPr>
        <b/>
        <sz val="11"/>
        <color theme="1"/>
        <rFont val="Calibri"/>
        <family val="2"/>
        <scheme val="minor"/>
      </rPr>
      <t>-event)</t>
    </r>
  </si>
  <si>
    <r>
      <t>APDR</t>
    </r>
    <r>
      <rPr>
        <b/>
        <vertAlign val="subscript"/>
        <sz val="11"/>
        <color theme="1"/>
        <rFont val="Calibri"/>
        <family val="2"/>
        <scheme val="minor"/>
      </rPr>
      <t>exp</t>
    </r>
    <r>
      <rPr>
        <b/>
        <sz val="11"/>
        <color theme="1"/>
        <rFont val="Calibri"/>
        <family val="2"/>
        <scheme val="minor"/>
      </rPr>
      <t xml:space="preserve"> (mg/day)</t>
    </r>
  </si>
  <si>
    <r>
      <t>ARD</t>
    </r>
    <r>
      <rPr>
        <b/>
        <vertAlign val="subscript"/>
        <sz val="11"/>
        <rFont val="Calibri"/>
        <family val="2"/>
        <scheme val="minor"/>
      </rPr>
      <t>TCE</t>
    </r>
    <r>
      <rPr>
        <b/>
        <sz val="11"/>
        <rFont val="Calibri"/>
        <family val="2"/>
        <scheme val="minor"/>
      </rPr>
      <t xml:space="preserve"> (mg/kg-day)</t>
    </r>
  </si>
  <si>
    <r>
      <t>CRD</t>
    </r>
    <r>
      <rPr>
        <b/>
        <vertAlign val="subscript"/>
        <sz val="11"/>
        <rFont val="Calibri"/>
        <family val="2"/>
        <scheme val="minor"/>
      </rPr>
      <t>TCE</t>
    </r>
    <r>
      <rPr>
        <b/>
        <sz val="11"/>
        <rFont val="Calibri"/>
        <family val="2"/>
        <scheme val="minor"/>
      </rPr>
      <t xml:space="preserve"> (mg/kg-day)</t>
    </r>
  </si>
  <si>
    <t>For Risk Reduction (RR) Heat Map</t>
  </si>
  <si>
    <t>Exposure Frequency (days/yr)</t>
  </si>
  <si>
    <t>Eight Hour  TWA Exposures</t>
  </si>
  <si>
    <t>AC 8/12 hr Occupational Exposure</t>
  </si>
  <si>
    <t>ADC 8/12 hr Occupational Exposure</t>
  </si>
  <si>
    <t>CTCE, 8 or 12-hrTWA (ppm)</t>
  </si>
  <si>
    <t>ACTCE, 24-hr TWA (ppm)</t>
  </si>
  <si>
    <r>
      <t>ACTCE</t>
    </r>
    <r>
      <rPr>
        <b/>
        <vertAlign val="subscript"/>
        <sz val="10"/>
        <rFont val="Calibri"/>
        <family val="2"/>
        <scheme val="minor"/>
      </rPr>
      <t>TCE, 8 or 12-hr TWA</t>
    </r>
    <r>
      <rPr>
        <b/>
        <sz val="10"/>
        <rFont val="Calibri"/>
        <family val="2"/>
        <scheme val="minor"/>
      </rPr>
      <t xml:space="preserve"> (ppm)</t>
    </r>
  </si>
  <si>
    <t>ADCTCE, 24-hr TWA (ppm)</t>
  </si>
  <si>
    <t>LADCTCE, 24-hr TWA (ppm)</t>
  </si>
  <si>
    <t>OES Group</t>
  </si>
  <si>
    <t>Exposure Scenario</t>
  </si>
  <si>
    <t>95th Percentile</t>
  </si>
  <si>
    <t>50th Percentile</t>
  </si>
  <si>
    <t>Data Points</t>
  </si>
  <si>
    <t>Sources &amp; Notes</t>
  </si>
  <si>
    <t>15, 18</t>
  </si>
  <si>
    <t>8-hr</t>
  </si>
  <si>
    <t>Added 5/15 - industrial data used as surrogate for commercial.</t>
  </si>
  <si>
    <t>9c-e</t>
  </si>
  <si>
    <t>9a-b</t>
  </si>
  <si>
    <t>Used all degreasing data not marked as closed</t>
  </si>
  <si>
    <t>12-hr</t>
  </si>
  <si>
    <t>9f-g</t>
  </si>
  <si>
    <t>Added 5/8</t>
  </si>
  <si>
    <t>Uses Repackaging data as a surrogate.</t>
  </si>
  <si>
    <t>22, 23a-b</t>
  </si>
  <si>
    <t>Uses HSIA + Arkema data for Mfg as surrogate</t>
  </si>
  <si>
    <t>19-21, 26</t>
  </si>
  <si>
    <t>Uses spot cleaning data as surrogate.</t>
  </si>
  <si>
    <t>22, 23, 24</t>
  </si>
  <si>
    <t>Uses HSIA + Arkema data for Mfg</t>
  </si>
  <si>
    <t>7 &amp; 28</t>
  </si>
  <si>
    <t>11, 12, 14, 16, 25</t>
  </si>
  <si>
    <t>N/A</t>
  </si>
  <si>
    <t>NF/FF Model (8.19.2018 model run)</t>
  </si>
  <si>
    <t>Modeled Data</t>
  </si>
  <si>
    <t>NF/FF Model (10.04.2018 model run)</t>
  </si>
  <si>
    <t>2011 ESD on Use of Metalworking Fluids - May underestimate exposure as value ony includes mist portion, additional exposure may occur to volatilized TCE</t>
  </si>
  <si>
    <t>NF/FF Model (9.11.2020 model run), using spot cleaning data as surrogate.</t>
  </si>
  <si>
    <t>NF/FF Model (9.11.2020 model run)</t>
  </si>
  <si>
    <t>9h</t>
  </si>
  <si>
    <t>Web Degreasing Model (4.30.2019) - Added 5/2/19</t>
  </si>
  <si>
    <t>Note: This table only uses monitoring data that is below the OSHA PEL and only shows values for CoUs affected.</t>
  </si>
  <si>
    <t>ADC 8/12 hr Occupational Exposure for Keil</t>
  </si>
  <si>
    <r>
      <t>C</t>
    </r>
    <r>
      <rPr>
        <b/>
        <vertAlign val="subscript"/>
        <sz val="10"/>
        <rFont val="Calibri"/>
        <family val="2"/>
        <scheme val="minor"/>
      </rPr>
      <t>TCE, 8 or 12-hrTWA</t>
    </r>
    <r>
      <rPr>
        <b/>
        <sz val="10"/>
        <rFont val="Calibri"/>
        <family val="2"/>
        <scheme val="minor"/>
      </rPr>
      <t xml:space="preserve"> (ppm)</t>
    </r>
  </si>
  <si>
    <t>Vlookup terms</t>
  </si>
  <si>
    <t>Occupational Exposure Scenarios (OES)</t>
  </si>
  <si>
    <t>Aerosol Degreasing and Aerosol Lubricants</t>
  </si>
  <si>
    <t>Occupational Exposure Scenarios</t>
  </si>
  <si>
    <t>Exposure Data Types</t>
  </si>
  <si>
    <t>Assigned Glove Protection Factor</t>
  </si>
  <si>
    <t>General uses, PF = 5</t>
  </si>
  <si>
    <t>Commercial uses, PF = 10</t>
  </si>
  <si>
    <t>Industrial uses, PF = 20</t>
  </si>
  <si>
    <t>Exposure Type</t>
  </si>
  <si>
    <t>Females of Reproductive Age</t>
  </si>
  <si>
    <t>BMDL Percentile</t>
  </si>
  <si>
    <t>Trichloroethylene</t>
  </si>
  <si>
    <t>Value</t>
  </si>
  <si>
    <t>Unit</t>
  </si>
  <si>
    <t>MW</t>
  </si>
  <si>
    <t>Assigned Respirator Protection Factor</t>
  </si>
  <si>
    <t>Parameter Name</t>
  </si>
  <si>
    <t>Symbol</t>
  </si>
  <si>
    <t>Exposure Duration (8-hr)</t>
  </si>
  <si>
    <t>ED_8</t>
  </si>
  <si>
    <t xml:space="preserve">hr/day </t>
  </si>
  <si>
    <t>Exposure Duration (12-hr)</t>
  </si>
  <si>
    <t>ED_12</t>
  </si>
  <si>
    <t>Acute Exposure Averaging Time</t>
  </si>
  <si>
    <t>AT</t>
  </si>
  <si>
    <t xml:space="preserve">Exposure Frequency </t>
  </si>
  <si>
    <t>EF</t>
  </si>
  <si>
    <t xml:space="preserve">day/yr </t>
  </si>
  <si>
    <t>Working Years Per Lifetime (Mid)</t>
  </si>
  <si>
    <t>WY_mid</t>
  </si>
  <si>
    <t xml:space="preserve">yr </t>
  </si>
  <si>
    <t>Working Years Per Lifetime (High)</t>
  </si>
  <si>
    <t>WY_high</t>
  </si>
  <si>
    <t>Lifetime Years for LADC</t>
  </si>
  <si>
    <t>LT</t>
  </si>
  <si>
    <t>Averaging time For ADC (Mid)</t>
  </si>
  <si>
    <t>AT_ADC_mid</t>
  </si>
  <si>
    <t xml:space="preserve">hr </t>
  </si>
  <si>
    <t>Averaging time For ADC (High)</t>
  </si>
  <si>
    <t>AT_ADC_high</t>
  </si>
  <si>
    <t>Averaging time For LADC</t>
  </si>
  <si>
    <t>AT_LADC</t>
  </si>
  <si>
    <t>Exposure Factors</t>
  </si>
  <si>
    <t>Characterization of Value</t>
  </si>
  <si>
    <t>Body Weight, BW (kg)</t>
  </si>
  <si>
    <r>
      <t>1 Hand Surface Area (cm</t>
    </r>
    <r>
      <rPr>
        <b/>
        <vertAlign val="superscript"/>
        <sz val="11"/>
        <color theme="1"/>
        <rFont val="Calibri"/>
        <family val="2"/>
        <scheme val="minor"/>
      </rPr>
      <t>2</t>
    </r>
    <r>
      <rPr>
        <b/>
        <sz val="11"/>
        <color theme="1"/>
        <rFont val="Calibri"/>
        <family val="2"/>
        <scheme val="minor"/>
      </rPr>
      <t>)</t>
    </r>
  </si>
  <si>
    <r>
      <t>2 Hand Surface Area (cm</t>
    </r>
    <r>
      <rPr>
        <b/>
        <vertAlign val="superscript"/>
        <sz val="11"/>
        <color theme="1"/>
        <rFont val="Calibri"/>
        <family val="2"/>
        <scheme val="minor"/>
      </rPr>
      <t>2</t>
    </r>
    <r>
      <rPr>
        <b/>
        <sz val="11"/>
        <color theme="1"/>
        <rFont val="Calibri"/>
        <family val="2"/>
        <scheme val="minor"/>
      </rPr>
      <t>)</t>
    </r>
  </si>
  <si>
    <t>Working Years - High-End (yr)</t>
  </si>
  <si>
    <t>Working Years - Central Tendency (yr)</t>
  </si>
  <si>
    <t>Lifetime</t>
  </si>
  <si>
    <t>Woman of Childbearing Age Exposure Factors:</t>
  </si>
  <si>
    <t>Body Weight:</t>
  </si>
  <si>
    <t>From the Exposure Factors Handbook Table 8-5: Mean and Percentile Body Weights (kg) for Females Derived from NHANES (1990-2006) (1)</t>
  </si>
  <si>
    <t>Age 16 to &lt;21 years: 65.9 kg (mean)</t>
  </si>
  <si>
    <t>Age 21 to &lt;30 years: 71.9 kg (mean)</t>
  </si>
  <si>
    <t>Age 30 to &lt;40 years: 74.8 kg (mean)</t>
  </si>
  <si>
    <t>Age 40 to &lt;50 years: 77.1 kg (mean)</t>
  </si>
  <si>
    <t>(1) U.S. Environmental Protection Agency (EPA). (2011) Exposure Factors Handbook: 2011 Edition. National Center for Environmental Assessment, Washington, DC; EPA/600/R-09/052F. Available from the National Technical Information Service, Springfield, VA, and online at http://www.epa.gov/ncea/efh.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</si>
</sst>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E+00"/>
    <numFmt numFmtId="167" formatCode="0.0000"/>
    <numFmt numFmtId="168" formatCode="0.0%"/>
    <numFmt numFmtId="169" formatCode="0;\-0;;@"/>
    <numFmt numFmtId="170" formatCode="#,##0.000"/>
  </numFmts>
  <fonts count="52"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vertAlign val="superscript"/>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vertAlign val="subscript"/>
      <sz val="10"/>
      <name val="Calibri"/>
      <family val="2"/>
      <scheme val="minor"/>
    </font>
    <font>
      <b/>
      <sz val="16"/>
      <name val="Calibri"/>
      <family val="2"/>
      <scheme val="minor"/>
    </font>
    <font>
      <sz val="10"/>
      <name val="Calibri"/>
      <family val="2"/>
      <scheme val="minor"/>
    </font>
    <font>
      <b/>
      <vertAlign val="superscript"/>
      <sz val="10"/>
      <color theme="1"/>
      <name val="Calibri"/>
      <family val="2"/>
      <scheme val="minor"/>
    </font>
    <font>
      <sz val="11"/>
      <color theme="0" tint="-4.9989318521683403E-2"/>
      <name val="Calibri"/>
      <family val="2"/>
      <scheme val="minor"/>
    </font>
    <font>
      <b/>
      <vertAlign val="subscript"/>
      <sz val="10"/>
      <color theme="1"/>
      <name val="Calibri"/>
      <family val="2"/>
      <scheme val="minor"/>
    </font>
    <font>
      <sz val="11"/>
      <color rgb="FFFF0000"/>
      <name val="Calibri"/>
      <family val="2"/>
      <scheme val="minor"/>
    </font>
    <font>
      <u/>
      <sz val="11"/>
      <color theme="1"/>
      <name val="Calibri"/>
      <family val="2"/>
      <scheme val="minor"/>
    </font>
    <font>
      <sz val="11"/>
      <color theme="1"/>
      <name val="Calibri"/>
      <family val="2"/>
      <scheme val="minor"/>
    </font>
    <font>
      <i/>
      <sz val="11"/>
      <color theme="1"/>
      <name val="Calibri"/>
      <family val="2"/>
      <scheme val="minor"/>
    </font>
    <font>
      <b/>
      <sz val="11"/>
      <color rgb="FFFF0000"/>
      <name val="Calibri"/>
      <family val="2"/>
      <scheme val="minor"/>
    </font>
    <font>
      <sz val="10"/>
      <color rgb="FF000000"/>
      <name val="Calibri"/>
      <family val="2"/>
    </font>
    <font>
      <b/>
      <sz val="10"/>
      <color rgb="FF000000"/>
      <name val="Calibri"/>
      <family val="2"/>
      <scheme val="minor"/>
    </font>
    <font>
      <vertAlign val="subscript"/>
      <sz val="11"/>
      <color theme="1"/>
      <name val="Calibri"/>
      <family val="2"/>
      <scheme val="minor"/>
    </font>
    <font>
      <b/>
      <i/>
      <sz val="16"/>
      <name val="Calibri"/>
      <family val="2"/>
      <scheme val="minor"/>
    </font>
    <font>
      <sz val="14"/>
      <color theme="1"/>
      <name val="Calibri"/>
      <family val="2"/>
      <scheme val="minor"/>
    </font>
    <font>
      <sz val="14"/>
      <name val="Calibri"/>
      <family val="2"/>
      <scheme val="minor"/>
    </font>
    <font>
      <b/>
      <i/>
      <sz val="14"/>
      <name val="Calibri"/>
      <family val="2"/>
      <scheme val="minor"/>
    </font>
    <font>
      <b/>
      <sz val="14"/>
      <name val="Calibri"/>
      <family val="2"/>
      <scheme val="minor"/>
    </font>
    <font>
      <sz val="11"/>
      <color rgb="FF000000"/>
      <name val="Calibri"/>
      <family val="2"/>
    </font>
    <font>
      <sz val="10"/>
      <color rgb="FF000000"/>
      <name val="Calibri"/>
      <family val="2"/>
      <scheme val="minor"/>
    </font>
    <font>
      <b/>
      <sz val="11"/>
      <color theme="9" tint="0.79998168889431442"/>
      <name val="Calibri"/>
      <family val="2"/>
      <scheme val="minor"/>
    </font>
    <font>
      <b/>
      <i/>
      <sz val="10"/>
      <name val="Calibri"/>
      <family val="2"/>
      <scheme val="minor"/>
    </font>
    <font>
      <b/>
      <sz val="10"/>
      <color theme="8" tint="0.79998168889431442"/>
      <name val="Calibri"/>
      <family val="2"/>
      <scheme val="minor"/>
    </font>
    <font>
      <sz val="10"/>
      <color rgb="FFFF0000"/>
      <name val="Calibri"/>
      <family val="2"/>
      <scheme val="minor"/>
    </font>
    <font>
      <sz val="10"/>
      <color theme="0" tint="-4.9989318521683403E-2"/>
      <name val="Calibri"/>
      <family val="2"/>
      <scheme val="minor"/>
    </font>
    <font>
      <sz val="10"/>
      <name val="Arial"/>
      <family val="2"/>
    </font>
    <font>
      <sz val="10"/>
      <name val="Calibri"/>
      <family val="2"/>
    </font>
    <font>
      <b/>
      <sz val="12"/>
      <name val="Calibri"/>
      <family val="2"/>
    </font>
    <font>
      <b/>
      <sz val="11"/>
      <color rgb="FF000000"/>
      <name val="Calibri"/>
      <family val="2"/>
      <scheme val="minor"/>
    </font>
    <font>
      <b/>
      <vertAlign val="subscript"/>
      <sz val="11"/>
      <color theme="1"/>
      <name val="Calibri"/>
      <family val="2"/>
      <scheme val="minor"/>
    </font>
    <font>
      <b/>
      <vertAlign val="subscript"/>
      <sz val="11"/>
      <color rgb="FF000000"/>
      <name val="Calibri"/>
      <family val="2"/>
      <scheme val="minor"/>
    </font>
    <font>
      <b/>
      <vertAlign val="subscript"/>
      <sz val="11"/>
      <name val="Calibri"/>
      <family val="2"/>
      <scheme val="minor"/>
    </font>
    <font>
      <sz val="8"/>
      <name val="Calibri"/>
      <family val="2"/>
      <scheme val="minor"/>
    </font>
    <font>
      <sz val="11"/>
      <color rgb="FF000000"/>
      <name val="Calibri"/>
      <family val="2"/>
      <scheme val="minor"/>
    </font>
    <font>
      <vertAlign val="superscript"/>
      <sz val="11"/>
      <color rgb="FF000000"/>
      <name val="Calibri"/>
      <family val="2"/>
      <scheme val="minor"/>
    </font>
    <font>
      <b/>
      <sz val="12"/>
      <color theme="3"/>
      <name val="Calibri"/>
      <family val="2"/>
      <scheme val="minor"/>
    </font>
    <font>
      <b/>
      <sz val="22"/>
      <color theme="3"/>
      <name val="Calibri"/>
      <family val="2"/>
      <scheme val="minor"/>
    </font>
    <font>
      <b/>
      <sz val="22"/>
      <color theme="0"/>
      <name val="Calibri"/>
      <family val="2"/>
      <scheme val="minor"/>
    </font>
    <font>
      <vertAlign val="superscript"/>
      <sz val="10"/>
      <color theme="1"/>
      <name val="Calibri"/>
      <family val="2"/>
      <scheme val="minor"/>
    </font>
    <font>
      <u/>
      <sz val="11"/>
      <color theme="10"/>
      <name val="Calibri"/>
      <family val="2"/>
      <scheme val="minor"/>
    </font>
    <font>
      <b/>
      <sz val="16"/>
      <color rgb="FF000000"/>
      <name val="Times New Roman"/>
      <family val="1"/>
    </font>
  </fonts>
  <fills count="2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450666829432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0"/>
        <bgColor theme="4" tint="0.79998168889431442"/>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D9D9D9"/>
        <bgColor indexed="64"/>
      </patternFill>
    </fill>
    <fill>
      <patternFill patternType="solid">
        <fgColor theme="4" tint="0.79998168889431442"/>
        <bgColor indexed="64"/>
      </patternFill>
    </fill>
    <fill>
      <patternFill patternType="solid">
        <fgColor theme="0"/>
        <bgColor rgb="FF000000"/>
      </patternFill>
    </fill>
    <fill>
      <patternFill patternType="solid">
        <fgColor theme="4" tint="0.39997558519241921"/>
        <bgColor indexed="64"/>
      </patternFill>
    </fill>
    <fill>
      <patternFill patternType="lightUp">
        <bgColor theme="0" tint="-0.14996795556505021"/>
      </patternFill>
    </fill>
    <fill>
      <patternFill patternType="solid">
        <fgColor theme="0" tint="-4.9989318521683403E-2"/>
        <bgColor indexed="64"/>
      </patternFill>
    </fill>
    <fill>
      <patternFill patternType="solid">
        <fgColor rgb="FF0070C0"/>
        <bgColor indexed="64"/>
      </patternFill>
    </fill>
    <fill>
      <patternFill patternType="solid">
        <fgColor theme="7" tint="0.79998168889431442"/>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top style="dashed">
        <color auto="1"/>
      </top>
      <bottom/>
      <diagonal/>
    </border>
    <border>
      <left/>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auto="1"/>
      </bottom>
      <diagonal/>
    </border>
    <border>
      <left/>
      <right/>
      <top style="hair">
        <color auto="1"/>
      </top>
      <bottom/>
      <diagonal/>
    </border>
    <border>
      <left/>
      <right/>
      <top/>
      <bottom style="hair">
        <color auto="1"/>
      </bottom>
      <diagonal/>
    </border>
    <border>
      <left/>
      <right/>
      <top style="dashed">
        <color auto="1"/>
      </top>
      <bottom style="hair">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bottom style="medium">
        <color auto="1"/>
      </bottom>
      <diagonal/>
    </border>
    <border>
      <left/>
      <right style="medium">
        <color indexed="64"/>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indexed="64"/>
      </right>
      <top/>
      <bottom/>
      <diagonal/>
    </border>
    <border>
      <left style="thin">
        <color indexed="64"/>
      </left>
      <right style="medium">
        <color indexed="64"/>
      </right>
      <top/>
      <bottom style="medium">
        <color indexed="64"/>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medium">
        <color auto="1"/>
      </right>
      <top style="thin">
        <color indexed="64"/>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auto="1"/>
      </top>
      <bottom/>
      <diagonal/>
    </border>
    <border>
      <left/>
      <right style="thin">
        <color indexed="64"/>
      </right>
      <top style="medium">
        <color auto="1"/>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style="medium">
        <color indexed="64"/>
      </right>
      <top style="medium">
        <color auto="1"/>
      </top>
      <bottom style="medium">
        <color auto="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thin">
        <color theme="0" tint="-0.14996795556505021"/>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hair">
        <color auto="1"/>
      </top>
      <bottom style="hair">
        <color indexed="64"/>
      </bottom>
      <diagonal/>
    </border>
    <border>
      <left style="thin">
        <color auto="1"/>
      </left>
      <right/>
      <top style="dashed">
        <color auto="1"/>
      </top>
      <bottom style="thin">
        <color auto="1"/>
      </bottom>
      <diagonal/>
    </border>
    <border>
      <left/>
      <right/>
      <top style="dashed">
        <color auto="1"/>
      </top>
      <bottom style="thin">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indexed="64"/>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indexed="64"/>
      </right>
      <top style="dotted">
        <color auto="1"/>
      </top>
      <bottom style="medium">
        <color auto="1"/>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indexed="64"/>
      </right>
      <top style="dotted">
        <color auto="1"/>
      </top>
      <bottom/>
      <diagonal/>
    </border>
    <border>
      <left style="medium">
        <color auto="1"/>
      </left>
      <right style="dotted">
        <color auto="1"/>
      </right>
      <top/>
      <bottom style="dotted">
        <color auto="1"/>
      </bottom>
      <diagonal/>
    </border>
    <border>
      <left style="medium">
        <color indexed="64"/>
      </left>
      <right style="medium">
        <color indexed="64"/>
      </right>
      <top style="double">
        <color indexed="64"/>
      </top>
      <bottom style="thin">
        <color indexed="64"/>
      </bottom>
      <diagonal/>
    </border>
    <border>
      <left style="medium">
        <color auto="1"/>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dotted">
        <color auto="1"/>
      </right>
      <top/>
      <bottom style="medium">
        <color auto="1"/>
      </bottom>
      <diagonal/>
    </border>
    <border>
      <left style="dotted">
        <color auto="1"/>
      </left>
      <right style="medium">
        <color indexed="64"/>
      </right>
      <top/>
      <bottom style="medium">
        <color auto="1"/>
      </bottom>
      <diagonal/>
    </border>
    <border>
      <left style="medium">
        <color auto="1"/>
      </left>
      <right style="dotted">
        <color auto="1"/>
      </right>
      <top style="medium">
        <color auto="1"/>
      </top>
      <bottom/>
      <diagonal/>
    </border>
    <border>
      <left style="medium">
        <color indexed="64"/>
      </left>
      <right style="medium">
        <color indexed="64"/>
      </right>
      <top/>
      <bottom style="thin">
        <color indexed="64"/>
      </bottom>
      <diagonal/>
    </border>
  </borders>
  <cellStyleXfs count="4">
    <xf numFmtId="0" fontId="0" fillId="0" borderId="0"/>
    <xf numFmtId="9" fontId="18" fillId="0" borderId="0" applyFont="0" applyFill="0" applyBorder="0" applyAlignment="0" applyProtection="0"/>
    <xf numFmtId="0" fontId="36" fillId="0" borderId="0"/>
    <xf numFmtId="0" fontId="50" fillId="0" borderId="0" applyNumberFormat="0" applyFill="0" applyBorder="0" applyAlignment="0" applyProtection="0"/>
  </cellStyleXfs>
  <cellXfs count="771">
    <xf numFmtId="0" fontId="0" fillId="0" borderId="0" xfId="0"/>
    <xf numFmtId="0" fontId="4" fillId="3" borderId="0" xfId="0" applyFont="1" applyFill="1"/>
    <xf numFmtId="0" fontId="0" fillId="3" borderId="0" xfId="0" applyFill="1"/>
    <xf numFmtId="0" fontId="0" fillId="3" borderId="2" xfId="0" applyFill="1" applyBorder="1"/>
    <xf numFmtId="0" fontId="0" fillId="3" borderId="3" xfId="0" applyFill="1" applyBorder="1"/>
    <xf numFmtId="0" fontId="1" fillId="3" borderId="3" xfId="0" applyFont="1" applyFill="1" applyBorder="1"/>
    <xf numFmtId="0" fontId="0" fillId="3" borderId="5" xfId="0" applyFill="1" applyBorder="1"/>
    <xf numFmtId="166" fontId="0" fillId="3" borderId="7" xfId="0" applyNumberFormat="1" applyFill="1" applyBorder="1"/>
    <xf numFmtId="0" fontId="0" fillId="3" borderId="7" xfId="0" applyFill="1" applyBorder="1"/>
    <xf numFmtId="0" fontId="0" fillId="3" borderId="6" xfId="0" applyFill="1" applyBorder="1"/>
    <xf numFmtId="0" fontId="0" fillId="3" borderId="8" xfId="0" applyFill="1" applyBorder="1"/>
    <xf numFmtId="0" fontId="0" fillId="3" borderId="9" xfId="0" applyFill="1" applyBorder="1"/>
    <xf numFmtId="0" fontId="1" fillId="3" borderId="15" xfId="0" applyFont="1" applyFill="1" applyBorder="1" applyAlignment="1">
      <alignment horizont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3" fillId="3" borderId="0" xfId="0" applyFont="1" applyFill="1" applyAlignment="1">
      <alignment vertical="center" wrapText="1"/>
    </xf>
    <xf numFmtId="0" fontId="0" fillId="3" borderId="0" xfId="0" applyFill="1" applyAlignment="1">
      <alignment horizontal="center" vertical="center"/>
    </xf>
    <xf numFmtId="0" fontId="0" fillId="3" borderId="0" xfId="0" applyFill="1" applyAlignment="1">
      <alignment vertical="center"/>
    </xf>
    <xf numFmtId="0" fontId="6" fillId="3" borderId="0" xfId="0" applyFont="1" applyFill="1" applyAlignment="1">
      <alignment vertical="center"/>
    </xf>
    <xf numFmtId="0" fontId="2" fillId="3" borderId="0" xfId="0" applyFont="1" applyFill="1" applyAlignment="1">
      <alignment vertical="center"/>
    </xf>
    <xf numFmtId="0" fontId="7" fillId="0" borderId="0" xfId="0" applyFont="1" applyAlignment="1">
      <alignment horizontal="center"/>
    </xf>
    <xf numFmtId="0" fontId="7" fillId="3" borderId="0" xfId="0" applyFont="1" applyFill="1"/>
    <xf numFmtId="0" fontId="7" fillId="0" borderId="0" xfId="0" applyFont="1" applyAlignment="1">
      <alignment wrapText="1"/>
    </xf>
    <xf numFmtId="0" fontId="7" fillId="0" borderId="0" xfId="0" applyFont="1"/>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xf>
    <xf numFmtId="0" fontId="3" fillId="3" borderId="0" xfId="0" applyFont="1" applyFill="1" applyAlignment="1">
      <alignment horizontal="center" vertical="center" wrapText="1"/>
    </xf>
    <xf numFmtId="0" fontId="2" fillId="3" borderId="0" xfId="0" applyFont="1" applyFill="1" applyAlignment="1">
      <alignment horizontal="center" vertical="center"/>
    </xf>
    <xf numFmtId="0" fontId="11" fillId="3" borderId="0" xfId="0" applyFont="1" applyFill="1" applyAlignment="1">
      <alignment vertical="center"/>
    </xf>
    <xf numFmtId="0" fontId="2" fillId="3" borderId="0" xfId="0" applyFont="1" applyFill="1" applyAlignment="1">
      <alignment vertical="center" wrapText="1"/>
    </xf>
    <xf numFmtId="0" fontId="12" fillId="3" borderId="0" xfId="0" applyFont="1" applyFill="1" applyAlignment="1">
      <alignment vertical="center"/>
    </xf>
    <xf numFmtId="0" fontId="12" fillId="3" borderId="0" xfId="0" applyFont="1" applyFill="1" applyAlignment="1">
      <alignment horizontal="center" vertical="center"/>
    </xf>
    <xf numFmtId="0" fontId="14" fillId="3" borderId="0" xfId="0" applyFont="1" applyFill="1" applyAlignment="1">
      <alignment vertical="center"/>
    </xf>
    <xf numFmtId="0" fontId="14" fillId="3" borderId="0" xfId="0" applyFont="1" applyFill="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1" fontId="7" fillId="0" borderId="1" xfId="0" applyNumberFormat="1" applyFont="1" applyBorder="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vertical="center" wrapText="1"/>
    </xf>
    <xf numFmtId="2" fontId="12" fillId="3" borderId="0" xfId="0" applyNumberFormat="1" applyFont="1" applyFill="1" applyAlignment="1">
      <alignment horizontal="center" vertical="center" wrapText="1"/>
    </xf>
    <xf numFmtId="1" fontId="9" fillId="3" borderId="0" xfId="0" applyNumberFormat="1" applyFont="1" applyFill="1" applyAlignment="1">
      <alignment horizontal="center" vertical="center" wrapText="1"/>
    </xf>
    <xf numFmtId="0" fontId="0" fillId="3" borderId="0" xfId="0" applyFill="1" applyAlignment="1">
      <alignment wrapText="1"/>
    </xf>
    <xf numFmtId="0" fontId="1" fillId="3" borderId="0" xfId="0" applyFont="1" applyFill="1"/>
    <xf numFmtId="0" fontId="19" fillId="3" borderId="0" xfId="0" applyFont="1" applyFill="1"/>
    <xf numFmtId="0" fontId="8" fillId="0" borderId="0" xfId="0" applyFont="1" applyAlignment="1">
      <alignment vertical="center"/>
    </xf>
    <xf numFmtId="0" fontId="7" fillId="0" borderId="1" xfId="0" applyFont="1" applyBorder="1" applyAlignment="1">
      <alignment wrapText="1"/>
    </xf>
    <xf numFmtId="0" fontId="21" fillId="7" borderId="1" xfId="0" applyFont="1" applyFill="1" applyBorder="1" applyAlignment="1">
      <alignment horizontal="center" vertical="center" wrapText="1"/>
    </xf>
    <xf numFmtId="0" fontId="3" fillId="3" borderId="0" xfId="0" applyFont="1" applyFill="1" applyAlignment="1">
      <alignment horizontal="left" vertical="center"/>
    </xf>
    <xf numFmtId="0" fontId="24" fillId="3" borderId="0" xfId="0" applyFont="1" applyFill="1" applyAlignment="1">
      <alignment vertical="center"/>
    </xf>
    <xf numFmtId="0" fontId="7" fillId="8" borderId="1" xfId="0" applyFont="1" applyFill="1" applyBorder="1" applyAlignment="1">
      <alignment horizontal="left" vertical="center"/>
    </xf>
    <xf numFmtId="0" fontId="7" fillId="3" borderId="1" xfId="0" applyFont="1" applyFill="1" applyBorder="1" applyAlignment="1">
      <alignment horizontal="left" vertical="center"/>
    </xf>
    <xf numFmtId="0" fontId="9" fillId="5" borderId="39" xfId="0" applyFont="1" applyFill="1" applyBorder="1" applyAlignment="1">
      <alignment horizontal="center" vertical="center" wrapText="1"/>
    </xf>
    <xf numFmtId="0" fontId="0" fillId="3" borderId="5" xfId="0" applyFill="1" applyBorder="1" applyAlignment="1">
      <alignment vertical="center"/>
    </xf>
    <xf numFmtId="0" fontId="1" fillId="3" borderId="5" xfId="0" applyFont="1" applyFill="1" applyBorder="1" applyAlignment="1">
      <alignment vertical="center"/>
    </xf>
    <xf numFmtId="0" fontId="0" fillId="3" borderId="11" xfId="0" applyFill="1" applyBorder="1" applyAlignment="1">
      <alignment vertical="center"/>
    </xf>
    <xf numFmtId="0" fontId="25" fillId="3" borderId="0" xfId="0" applyFont="1" applyFill="1"/>
    <xf numFmtId="0" fontId="1" fillId="10" borderId="14" xfId="0" applyFont="1" applyFill="1" applyBorder="1" applyAlignment="1">
      <alignment horizontal="center" wrapText="1"/>
    </xf>
    <xf numFmtId="0" fontId="1" fillId="10" borderId="15" xfId="0" applyFont="1" applyFill="1" applyBorder="1" applyAlignment="1">
      <alignment horizontal="center" wrapText="1"/>
    </xf>
    <xf numFmtId="0" fontId="0" fillId="3" borderId="0" xfId="0" applyFill="1" applyAlignment="1">
      <alignment horizontal="left" vertical="top"/>
    </xf>
    <xf numFmtId="0" fontId="0" fillId="3" borderId="1" xfId="0" applyFill="1" applyBorder="1" applyAlignment="1">
      <alignment horizontal="left" vertical="top"/>
    </xf>
    <xf numFmtId="0" fontId="1" fillId="3" borderId="14" xfId="0" applyFont="1" applyFill="1" applyBorder="1" applyAlignment="1">
      <alignment horizontal="center" vertical="center" wrapText="1"/>
    </xf>
    <xf numFmtId="0" fontId="0" fillId="3" borderId="13" xfId="0" applyFill="1" applyBorder="1"/>
    <xf numFmtId="2" fontId="12" fillId="3" borderId="0" xfId="0" applyNumberFormat="1" applyFont="1" applyFill="1" applyAlignment="1">
      <alignment horizontal="center" vertical="center"/>
    </xf>
    <xf numFmtId="0" fontId="11" fillId="3" borderId="32" xfId="0" applyFont="1" applyFill="1" applyBorder="1" applyAlignment="1">
      <alignment vertical="center"/>
    </xf>
    <xf numFmtId="0" fontId="3" fillId="3" borderId="32" xfId="0" applyFont="1" applyFill="1" applyBorder="1" applyAlignment="1">
      <alignment vertical="center" wrapText="1"/>
    </xf>
    <xf numFmtId="0" fontId="7" fillId="3" borderId="0" xfId="0" applyFont="1" applyFill="1" applyAlignment="1">
      <alignment horizontal="center"/>
    </xf>
    <xf numFmtId="2" fontId="12" fillId="0" borderId="16" xfId="0" applyNumberFormat="1" applyFont="1" applyBorder="1" applyAlignment="1">
      <alignment horizontal="center" vertical="center"/>
    </xf>
    <xf numFmtId="2" fontId="12" fillId="0" borderId="17" xfId="0" applyNumberFormat="1" applyFont="1" applyBorder="1" applyAlignment="1">
      <alignment horizontal="center" vertical="center"/>
    </xf>
    <xf numFmtId="0" fontId="9" fillId="5" borderId="41"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12" fillId="3" borderId="0" xfId="0" applyFont="1" applyFill="1" applyAlignment="1">
      <alignment vertical="center" wrapText="1"/>
    </xf>
    <xf numFmtId="2" fontId="12" fillId="3" borderId="0" xfId="0" applyNumberFormat="1" applyFont="1" applyFill="1" applyAlignment="1">
      <alignment horizontal="left" vertical="center"/>
    </xf>
    <xf numFmtId="0" fontId="9" fillId="3" borderId="0" xfId="0" applyFont="1" applyFill="1" applyAlignment="1">
      <alignment vertical="center" wrapText="1"/>
    </xf>
    <xf numFmtId="0" fontId="7" fillId="3" borderId="0" xfId="0" applyFont="1" applyFill="1" applyAlignment="1">
      <alignment vertical="center" wrapText="1"/>
    </xf>
    <xf numFmtId="0" fontId="7" fillId="0" borderId="1" xfId="0" applyFont="1" applyBorder="1" applyAlignment="1">
      <alignment vertical="center" wrapText="1"/>
    </xf>
    <xf numFmtId="9" fontId="0" fillId="0" borderId="53" xfId="0" applyNumberFormat="1" applyBorder="1"/>
    <xf numFmtId="9" fontId="0" fillId="0" borderId="52" xfId="0" applyNumberFormat="1" applyBorder="1"/>
    <xf numFmtId="0" fontId="0" fillId="0" borderId="53" xfId="0" applyBorder="1"/>
    <xf numFmtId="0" fontId="0" fillId="0" borderId="52" xfId="0" applyBorder="1"/>
    <xf numFmtId="0" fontId="28" fillId="4" borderId="40" xfId="0" applyFont="1" applyFill="1" applyBorder="1" applyAlignment="1">
      <alignment horizontal="center" vertical="center" wrapText="1"/>
    </xf>
    <xf numFmtId="0" fontId="28" fillId="4" borderId="25"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27" fillId="4" borderId="41" xfId="0" applyFont="1" applyFill="1" applyBorder="1" applyAlignment="1">
      <alignment horizontal="center" vertical="center" wrapText="1"/>
    </xf>
    <xf numFmtId="0" fontId="7" fillId="2" borderId="40" xfId="0" applyFont="1" applyFill="1" applyBorder="1" applyAlignment="1">
      <alignment horizontal="center" vertical="center"/>
    </xf>
    <xf numFmtId="2" fontId="12" fillId="0" borderId="25" xfId="0" applyNumberFormat="1" applyFont="1" applyBorder="1" applyAlignment="1">
      <alignment horizontal="center" vertical="center"/>
    </xf>
    <xf numFmtId="0" fontId="9" fillId="5" borderId="47" xfId="0" applyFont="1" applyFill="1" applyBorder="1" applyAlignment="1">
      <alignment horizontal="center" vertical="center" wrapText="1"/>
    </xf>
    <xf numFmtId="0" fontId="29" fillId="0" borderId="0" xfId="0" applyFont="1" applyAlignment="1">
      <alignment vertical="center"/>
    </xf>
    <xf numFmtId="0" fontId="28" fillId="4" borderId="20" xfId="0" applyFont="1" applyFill="1" applyBorder="1" applyAlignment="1">
      <alignment horizontal="center" vertical="center" wrapText="1"/>
    </xf>
    <xf numFmtId="0" fontId="8" fillId="5" borderId="46" xfId="0" applyFont="1" applyFill="1" applyBorder="1" applyAlignment="1">
      <alignment horizontal="center" wrapText="1"/>
    </xf>
    <xf numFmtId="2" fontId="12" fillId="0" borderId="18" xfId="0" applyNumberFormat="1" applyFont="1" applyBorder="1" applyAlignment="1">
      <alignment horizontal="center" vertical="center"/>
    </xf>
    <xf numFmtId="2" fontId="12" fillId="0" borderId="20" xfId="0" applyNumberFormat="1" applyFont="1" applyBorder="1" applyAlignment="1">
      <alignment horizontal="center" vertical="center"/>
    </xf>
    <xf numFmtId="11" fontId="0" fillId="3" borderId="1" xfId="0" applyNumberFormat="1" applyFill="1" applyBorder="1" applyAlignment="1">
      <alignment horizontal="center" vertical="center"/>
    </xf>
    <xf numFmtId="0" fontId="22" fillId="5" borderId="1" xfId="0" applyFont="1" applyFill="1" applyBorder="1" applyAlignment="1">
      <alignment horizontal="left" vertical="center" wrapText="1"/>
    </xf>
    <xf numFmtId="0" fontId="0" fillId="13" borderId="1" xfId="0" applyFill="1" applyBorder="1" applyAlignment="1">
      <alignment horizontal="center" vertical="center"/>
    </xf>
    <xf numFmtId="0" fontId="9" fillId="3" borderId="0" xfId="0" applyFont="1" applyFill="1" applyBorder="1" applyAlignment="1">
      <alignment horizontal="center" vertical="center" wrapText="1"/>
    </xf>
    <xf numFmtId="1" fontId="12" fillId="3" borderId="0" xfId="0" applyNumberFormat="1" applyFont="1" applyFill="1" applyAlignment="1">
      <alignment vertical="center"/>
    </xf>
    <xf numFmtId="0" fontId="0" fillId="5" borderId="1" xfId="0" applyFill="1" applyBorder="1" applyAlignment="1">
      <alignment vertical="center"/>
    </xf>
    <xf numFmtId="0" fontId="0" fillId="3" borderId="0" xfId="0" applyFill="1" applyBorder="1"/>
    <xf numFmtId="0" fontId="8" fillId="3" borderId="0" xfId="0" applyFont="1" applyFill="1" applyAlignment="1">
      <alignment horizontal="center" vertical="center" wrapText="1"/>
    </xf>
    <xf numFmtId="3" fontId="12" fillId="3" borderId="16"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9" fillId="5" borderId="20" xfId="0" applyFont="1" applyFill="1" applyBorder="1" applyAlignment="1">
      <alignment horizontal="center" vertical="center" wrapText="1"/>
    </xf>
    <xf numFmtId="0" fontId="31" fillId="3" borderId="0" xfId="0" applyFont="1" applyFill="1" applyAlignment="1">
      <alignment horizontal="center" vertical="center"/>
    </xf>
    <xf numFmtId="0" fontId="9" fillId="3" borderId="0" xfId="0" applyFont="1" applyFill="1" applyAlignment="1">
      <alignment horizontal="center" vertical="center" wrapText="1"/>
    </xf>
    <xf numFmtId="2" fontId="12" fillId="0" borderId="30" xfId="0" applyNumberFormat="1" applyFont="1" applyBorder="1" applyAlignment="1">
      <alignment horizontal="center" vertical="center"/>
    </xf>
    <xf numFmtId="0" fontId="8" fillId="15" borderId="54" xfId="0" applyFont="1" applyFill="1" applyBorder="1" applyAlignment="1">
      <alignment horizontal="center" vertical="center"/>
    </xf>
    <xf numFmtId="0" fontId="8" fillId="15" borderId="63" xfId="0" applyFont="1" applyFill="1" applyBorder="1" applyAlignment="1">
      <alignment horizontal="center" vertical="center"/>
    </xf>
    <xf numFmtId="0" fontId="12" fillId="15" borderId="63" xfId="0" applyFont="1" applyFill="1" applyBorder="1" applyAlignment="1">
      <alignment horizontal="center" vertical="center"/>
    </xf>
    <xf numFmtId="0" fontId="12" fillId="15" borderId="63" xfId="0" applyFont="1" applyFill="1" applyBorder="1" applyAlignment="1">
      <alignment vertical="center"/>
    </xf>
    <xf numFmtId="0" fontId="12" fillId="15" borderId="58" xfId="0" applyFont="1" applyFill="1" applyBorder="1" applyAlignment="1">
      <alignment vertical="center"/>
    </xf>
    <xf numFmtId="0" fontId="1" fillId="6" borderId="59" xfId="0" applyFont="1" applyFill="1" applyBorder="1" applyAlignment="1">
      <alignment horizontal="left" wrapText="1"/>
    </xf>
    <xf numFmtId="0" fontId="1" fillId="6" borderId="70" xfId="0" applyFont="1" applyFill="1" applyBorder="1" applyAlignment="1">
      <alignment horizontal="left" wrapText="1"/>
    </xf>
    <xf numFmtId="0" fontId="0" fillId="3" borderId="21" xfId="0" applyFill="1" applyBorder="1" applyAlignment="1">
      <alignment horizontal="center"/>
    </xf>
    <xf numFmtId="1" fontId="7" fillId="0" borderId="21" xfId="0" applyNumberFormat="1" applyFont="1" applyBorder="1" applyAlignment="1">
      <alignment horizontal="center" vertical="center"/>
    </xf>
    <xf numFmtId="0" fontId="0" fillId="3" borderId="23" xfId="0" applyFill="1" applyBorder="1" applyAlignment="1">
      <alignment horizontal="center"/>
    </xf>
    <xf numFmtId="0" fontId="11" fillId="3" borderId="0"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32" fillId="4" borderId="41"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2" fillId="2" borderId="17" xfId="0" applyFont="1" applyFill="1" applyBorder="1" applyAlignment="1">
      <alignment vertical="center" wrapText="1"/>
    </xf>
    <xf numFmtId="9" fontId="12" fillId="2" borderId="17" xfId="1" applyFont="1" applyFill="1" applyBorder="1" applyAlignment="1">
      <alignment horizontal="center" vertical="center"/>
    </xf>
    <xf numFmtId="0" fontId="12" fillId="3" borderId="0" xfId="0" applyFont="1" applyFill="1" applyBorder="1" applyAlignment="1">
      <alignment vertical="center" wrapText="1"/>
    </xf>
    <xf numFmtId="0" fontId="9" fillId="3" borderId="0" xfId="0" applyFont="1" applyFill="1" applyAlignment="1">
      <alignment horizontal="left" vertical="center"/>
    </xf>
    <xf numFmtId="0" fontId="12" fillId="3" borderId="0" xfId="0" applyFont="1" applyFill="1" applyAlignment="1">
      <alignment horizontal="left" vertical="center" wrapText="1"/>
    </xf>
    <xf numFmtId="0" fontId="32" fillId="3" borderId="0" xfId="0" applyFont="1" applyFill="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9" fillId="3" borderId="32" xfId="0" applyFont="1" applyFill="1" applyBorder="1" applyAlignment="1">
      <alignment vertical="center"/>
    </xf>
    <xf numFmtId="0" fontId="12" fillId="15" borderId="54" xfId="0" applyFont="1" applyFill="1" applyBorder="1" applyAlignment="1">
      <alignment vertical="center"/>
    </xf>
    <xf numFmtId="0" fontId="7" fillId="15" borderId="63" xfId="0" applyFont="1" applyFill="1" applyBorder="1" applyAlignment="1">
      <alignment horizontal="left" vertical="center" wrapText="1"/>
    </xf>
    <xf numFmtId="0" fontId="7" fillId="3" borderId="25" xfId="0" applyFont="1" applyFill="1" applyBorder="1" applyAlignment="1">
      <alignment vertical="center"/>
    </xf>
    <xf numFmtId="0" fontId="7" fillId="3" borderId="17" xfId="0" applyFont="1" applyFill="1" applyBorder="1" applyAlignment="1">
      <alignment vertical="center"/>
    </xf>
    <xf numFmtId="0" fontId="7" fillId="3" borderId="16" xfId="0" applyFont="1" applyFill="1" applyBorder="1" applyAlignment="1">
      <alignment vertical="center"/>
    </xf>
    <xf numFmtId="0" fontId="7" fillId="15" borderId="63" xfId="0" applyFont="1" applyFill="1" applyBorder="1" applyAlignment="1">
      <alignment horizontal="left" vertical="center"/>
    </xf>
    <xf numFmtId="0" fontId="12" fillId="15" borderId="63" xfId="0" applyFont="1" applyFill="1" applyBorder="1" applyAlignment="1">
      <alignment vertical="center" wrapText="1"/>
    </xf>
    <xf numFmtId="0" fontId="7" fillId="3" borderId="31" xfId="0" applyFont="1" applyFill="1" applyBorder="1" applyAlignment="1">
      <alignment vertical="center"/>
    </xf>
    <xf numFmtId="0" fontId="34" fillId="3" borderId="0" xfId="0" applyFont="1" applyFill="1" applyAlignment="1">
      <alignment horizontal="center" vertical="center"/>
    </xf>
    <xf numFmtId="0" fontId="35" fillId="3" borderId="0" xfId="0" applyFont="1" applyFill="1" applyAlignment="1">
      <alignment vertical="center" wrapText="1"/>
    </xf>
    <xf numFmtId="0" fontId="35" fillId="3" borderId="0" xfId="0" applyFont="1" applyFill="1" applyAlignment="1">
      <alignment vertical="center"/>
    </xf>
    <xf numFmtId="0" fontId="34" fillId="3" borderId="0" xfId="0" applyFont="1" applyFill="1" applyAlignment="1">
      <alignment vertical="center" wrapText="1"/>
    </xf>
    <xf numFmtId="0" fontId="34" fillId="3" borderId="0" xfId="0" applyFont="1" applyFill="1" applyAlignment="1">
      <alignment horizontal="center" vertical="center" wrapText="1"/>
    </xf>
    <xf numFmtId="0" fontId="8" fillId="13" borderId="1" xfId="0" applyFont="1" applyFill="1" applyBorder="1" applyAlignment="1">
      <alignment horizontal="center" vertical="center"/>
    </xf>
    <xf numFmtId="11" fontId="7" fillId="3" borderId="1" xfId="0" applyNumberFormat="1" applyFont="1" applyFill="1" applyBorder="1" applyAlignment="1">
      <alignment horizontal="center" vertical="center"/>
    </xf>
    <xf numFmtId="2" fontId="7" fillId="3" borderId="0" xfId="0" applyNumberFormat="1" applyFont="1" applyFill="1" applyAlignment="1">
      <alignment horizontal="center" vertical="center"/>
    </xf>
    <xf numFmtId="0" fontId="0" fillId="3" borderId="0" xfId="0" applyFill="1" applyAlignment="1">
      <alignment horizontal="center"/>
    </xf>
    <xf numFmtId="0" fontId="7" fillId="3" borderId="1" xfId="0" applyFont="1" applyFill="1" applyBorder="1" applyAlignment="1">
      <alignment vertical="center"/>
    </xf>
    <xf numFmtId="3" fontId="12" fillId="3" borderId="20" xfId="0" applyNumberFormat="1" applyFont="1" applyFill="1" applyBorder="1" applyAlignment="1">
      <alignment horizontal="center" vertical="center" wrapText="1"/>
    </xf>
    <xf numFmtId="3" fontId="12" fillId="3" borderId="22" xfId="0" applyNumberFormat="1" applyFont="1" applyFill="1" applyBorder="1" applyAlignment="1">
      <alignment horizontal="center" vertical="center" wrapText="1"/>
    </xf>
    <xf numFmtId="0" fontId="9" fillId="5" borderId="26" xfId="0" applyFont="1" applyFill="1" applyBorder="1" applyAlignment="1">
      <alignment vertical="center"/>
    </xf>
    <xf numFmtId="0" fontId="8" fillId="5" borderId="26" xfId="0" applyFont="1" applyFill="1" applyBorder="1" applyAlignment="1">
      <alignment horizontal="center" vertical="center" wrapText="1"/>
    </xf>
    <xf numFmtId="2" fontId="7"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0" fontId="38" fillId="16" borderId="74" xfId="2" applyFont="1" applyFill="1" applyBorder="1" applyAlignment="1">
      <alignment horizontal="center" vertical="center" wrapText="1"/>
    </xf>
    <xf numFmtId="0" fontId="38" fillId="16" borderId="75" xfId="2" applyFont="1" applyFill="1" applyBorder="1" applyAlignment="1">
      <alignment horizontal="center" vertical="center" wrapText="1"/>
    </xf>
    <xf numFmtId="0" fontId="0" fillId="10" borderId="18" xfId="0" applyFont="1" applyFill="1" applyBorder="1" applyAlignment="1">
      <alignment vertical="center" wrapText="1"/>
    </xf>
    <xf numFmtId="0" fontId="0" fillId="3" borderId="16" xfId="0" applyFont="1" applyFill="1" applyBorder="1" applyAlignment="1">
      <alignment vertical="center" wrapText="1"/>
    </xf>
    <xf numFmtId="0" fontId="1" fillId="6" borderId="28" xfId="0" applyFont="1" applyFill="1" applyBorder="1" applyAlignment="1">
      <alignment horizontal="center" vertical="center" wrapText="1"/>
    </xf>
    <xf numFmtId="0" fontId="0" fillId="3" borderId="22" xfId="0" applyFill="1" applyBorder="1"/>
    <xf numFmtId="1" fontId="0" fillId="3" borderId="1" xfId="0" applyNumberFormat="1" applyFill="1" applyBorder="1" applyAlignment="1">
      <alignment horizontal="center"/>
    </xf>
    <xf numFmtId="0" fontId="0" fillId="3" borderId="1" xfId="0" applyFill="1" applyBorder="1" applyAlignment="1">
      <alignment horizontal="center"/>
    </xf>
    <xf numFmtId="0" fontId="0" fillId="3" borderId="17" xfId="0" applyFill="1" applyBorder="1" applyAlignment="1">
      <alignment horizontal="center"/>
    </xf>
    <xf numFmtId="0" fontId="0" fillId="3" borderId="24" xfId="0" applyFill="1" applyBorder="1"/>
    <xf numFmtId="2" fontId="12" fillId="0" borderId="24" xfId="0" applyNumberFormat="1" applyFont="1" applyBorder="1" applyAlignment="1">
      <alignment horizontal="center" vertical="center"/>
    </xf>
    <xf numFmtId="0" fontId="1" fillId="11" borderId="76" xfId="0" applyFont="1" applyFill="1" applyBorder="1" applyAlignment="1">
      <alignment horizontal="center" vertical="center" wrapText="1"/>
    </xf>
    <xf numFmtId="0" fontId="39" fillId="14" borderId="76" xfId="0" applyFont="1" applyFill="1" applyBorder="1" applyAlignment="1">
      <alignment horizontal="center" vertical="center" wrapText="1"/>
    </xf>
    <xf numFmtId="0" fontId="1" fillId="14" borderId="76" xfId="0" applyFont="1" applyFill="1" applyBorder="1" applyAlignment="1">
      <alignment horizontal="center" vertical="center"/>
    </xf>
    <xf numFmtId="0" fontId="1" fillId="14" borderId="76" xfId="0" applyFont="1" applyFill="1" applyBorder="1" applyAlignment="1">
      <alignment horizontal="center" vertical="center" wrapText="1"/>
    </xf>
    <xf numFmtId="0" fontId="0" fillId="3" borderId="7" xfId="0" applyFill="1" applyBorder="1" applyAlignment="1">
      <alignment wrapText="1"/>
    </xf>
    <xf numFmtId="0" fontId="8" fillId="13" borderId="1" xfId="0" applyFont="1" applyFill="1" applyBorder="1" applyAlignment="1">
      <alignment vertical="center" wrapText="1"/>
    </xf>
    <xf numFmtId="0" fontId="0" fillId="0" borderId="0" xfId="0" applyFont="1" applyAlignment="1">
      <alignment wrapText="1"/>
    </xf>
    <xf numFmtId="0" fontId="0" fillId="0" borderId="0" xfId="0" applyFont="1"/>
    <xf numFmtId="0" fontId="0" fillId="0" borderId="0" xfId="0" applyFont="1" applyBorder="1"/>
    <xf numFmtId="0" fontId="3" fillId="12" borderId="17" xfId="0" applyFont="1" applyFill="1" applyBorder="1" applyAlignment="1">
      <alignment horizontal="center" vertical="center" wrapText="1"/>
    </xf>
    <xf numFmtId="0" fontId="3" fillId="12" borderId="24" xfId="0" applyFont="1" applyFill="1" applyBorder="1" applyAlignment="1">
      <alignment horizontal="center" vertical="center" wrapText="1"/>
    </xf>
    <xf numFmtId="4" fontId="0" fillId="12" borderId="16" xfId="0" applyNumberFormat="1" applyFont="1" applyFill="1" applyBorder="1" applyAlignment="1">
      <alignment horizontal="center" vertical="center" wrapText="1"/>
    </xf>
    <xf numFmtId="4" fontId="2" fillId="12" borderId="16" xfId="0" applyNumberFormat="1" applyFont="1" applyFill="1" applyBorder="1" applyAlignment="1">
      <alignment horizontal="center" vertical="center" wrapText="1"/>
    </xf>
    <xf numFmtId="0" fontId="0" fillId="10" borderId="21" xfId="0" applyFont="1" applyFill="1" applyBorder="1" applyAlignment="1">
      <alignment vertical="center" wrapText="1"/>
    </xf>
    <xf numFmtId="0" fontId="0" fillId="3" borderId="1" xfId="0" applyFont="1" applyFill="1" applyBorder="1" applyAlignment="1">
      <alignment vertical="center" wrapText="1"/>
    </xf>
    <xf numFmtId="4" fontId="0" fillId="12" borderId="1" xfId="0" applyNumberFormat="1" applyFont="1" applyFill="1" applyBorder="1" applyAlignment="1">
      <alignment horizontal="center" vertical="center" wrapText="1"/>
    </xf>
    <xf numFmtId="4" fontId="2" fillId="12" borderId="25" xfId="0" applyNumberFormat="1" applyFont="1" applyFill="1" applyBorder="1" applyAlignment="1">
      <alignment horizontal="center" vertical="center" wrapText="1"/>
    </xf>
    <xf numFmtId="3" fontId="12" fillId="3" borderId="26" xfId="0" applyNumberFormat="1" applyFont="1" applyFill="1" applyBorder="1" applyAlignment="1">
      <alignment horizontal="center" vertical="center" wrapText="1"/>
    </xf>
    <xf numFmtId="0" fontId="7" fillId="3" borderId="25" xfId="0" applyFont="1" applyFill="1" applyBorder="1" applyAlignment="1">
      <alignment horizontal="left" vertical="center"/>
    </xf>
    <xf numFmtId="0" fontId="7" fillId="3" borderId="17" xfId="0" applyFont="1" applyFill="1" applyBorder="1" applyAlignment="1">
      <alignment horizontal="left" vertical="center"/>
    </xf>
    <xf numFmtId="0" fontId="8" fillId="13" borderId="60" xfId="0" applyFont="1" applyFill="1" applyBorder="1" applyAlignment="1">
      <alignment vertical="center" wrapText="1"/>
    </xf>
    <xf numFmtId="0" fontId="0" fillId="13" borderId="1" xfId="0" applyFill="1" applyBorder="1" applyAlignment="1">
      <alignment horizontal="center" vertical="center" wrapText="1"/>
    </xf>
    <xf numFmtId="0" fontId="9" fillId="5" borderId="24" xfId="0" applyFont="1" applyFill="1" applyBorder="1" applyAlignment="1">
      <alignment horizontal="center" vertical="center" wrapText="1"/>
    </xf>
    <xf numFmtId="0" fontId="37" fillId="0" borderId="24" xfId="2" applyFont="1" applyBorder="1" applyAlignment="1">
      <alignment vertical="center" wrapText="1"/>
    </xf>
    <xf numFmtId="0" fontId="37" fillId="0" borderId="23" xfId="2" applyFont="1" applyBorder="1" applyAlignment="1">
      <alignment vertical="center" wrapText="1"/>
    </xf>
    <xf numFmtId="0" fontId="37" fillId="0" borderId="21" xfId="2" applyFont="1" applyBorder="1" applyAlignment="1">
      <alignment vertical="center" wrapText="1"/>
    </xf>
    <xf numFmtId="0" fontId="37" fillId="0" borderId="1" xfId="2" applyFont="1" applyBorder="1" applyAlignment="1">
      <alignment horizontal="center" vertical="center" wrapText="1"/>
    </xf>
    <xf numFmtId="0" fontId="37" fillId="0" borderId="22" xfId="2" applyFont="1" applyBorder="1" applyAlignment="1">
      <alignment vertical="center" wrapText="1"/>
    </xf>
    <xf numFmtId="0" fontId="7" fillId="3" borderId="53" xfId="0" applyFont="1" applyFill="1" applyBorder="1" applyAlignment="1">
      <alignment vertical="center"/>
    </xf>
    <xf numFmtId="0" fontId="30" fillId="3" borderId="53" xfId="0" applyFont="1" applyFill="1" applyBorder="1" applyAlignment="1">
      <alignment vertical="center"/>
    </xf>
    <xf numFmtId="0" fontId="7" fillId="3" borderId="53" xfId="0" applyFont="1" applyFill="1" applyBorder="1" applyAlignment="1">
      <alignment wrapText="1"/>
    </xf>
    <xf numFmtId="0" fontId="7" fillId="3" borderId="52" xfId="0" applyFont="1" applyFill="1" applyBorder="1" applyAlignment="1">
      <alignment vertical="center"/>
    </xf>
    <xf numFmtId="0" fontId="0" fillId="0" borderId="77" xfId="0" applyBorder="1"/>
    <xf numFmtId="0" fontId="0" fillId="0" borderId="78" xfId="0" applyBorder="1"/>
    <xf numFmtId="165"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21" fillId="18" borderId="1" xfId="0" applyFont="1" applyFill="1" applyBorder="1" applyAlignment="1">
      <alignment horizontal="center" vertical="center" wrapText="1"/>
    </xf>
    <xf numFmtId="1" fontId="0" fillId="3" borderId="16" xfId="0" applyNumberFormat="1" applyFont="1" applyFill="1" applyBorder="1" applyAlignment="1">
      <alignment horizontal="center" vertical="center" wrapText="1"/>
    </xf>
    <xf numFmtId="2" fontId="0" fillId="3" borderId="16" xfId="0" applyNumberFormat="1" applyFont="1" applyFill="1" applyBorder="1" applyAlignment="1">
      <alignment horizontal="center" vertical="center" wrapText="1"/>
    </xf>
    <xf numFmtId="3" fontId="0" fillId="3" borderId="16" xfId="0" applyNumberFormat="1" applyFont="1" applyFill="1" applyBorder="1" applyAlignment="1">
      <alignment horizontal="center" vertical="center" wrapText="1"/>
    </xf>
    <xf numFmtId="0" fontId="0" fillId="3" borderId="16"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2" fontId="0" fillId="3" borderId="1"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2" fontId="7" fillId="0" borderId="17" xfId="0" applyNumberFormat="1" applyFont="1" applyBorder="1" applyAlignment="1">
      <alignment horizontal="center" vertical="center"/>
    </xf>
    <xf numFmtId="0" fontId="8" fillId="19" borderId="39" xfId="0" applyFont="1" applyFill="1" applyBorder="1" applyAlignment="1">
      <alignment vertical="center" wrapText="1"/>
    </xf>
    <xf numFmtId="0" fontId="8" fillId="19" borderId="26" xfId="0" applyFont="1" applyFill="1" applyBorder="1" applyAlignment="1">
      <alignment vertical="center" wrapText="1"/>
    </xf>
    <xf numFmtId="0" fontId="8" fillId="19" borderId="28" xfId="0" applyFont="1" applyFill="1" applyBorder="1" applyAlignment="1">
      <alignment vertical="center" wrapText="1"/>
    </xf>
    <xf numFmtId="0" fontId="8" fillId="19" borderId="48" xfId="0" applyFont="1" applyFill="1" applyBorder="1" applyAlignment="1">
      <alignment vertical="center" wrapText="1"/>
    </xf>
    <xf numFmtId="0" fontId="8" fillId="19" borderId="27" xfId="0" applyFont="1" applyFill="1" applyBorder="1" applyAlignment="1">
      <alignment vertical="center" wrapText="1"/>
    </xf>
    <xf numFmtId="0" fontId="8" fillId="19" borderId="29" xfId="0" applyFont="1" applyFill="1" applyBorder="1" applyAlignment="1">
      <alignment vertical="center" wrapText="1"/>
    </xf>
    <xf numFmtId="0" fontId="31" fillId="3" borderId="32" xfId="0" applyFont="1" applyFill="1" applyBorder="1" applyAlignment="1">
      <alignment vertical="center"/>
    </xf>
    <xf numFmtId="0" fontId="31" fillId="3" borderId="0" xfId="0" applyFont="1" applyFill="1" applyBorder="1" applyAlignment="1">
      <alignment vertical="center"/>
    </xf>
    <xf numFmtId="0" fontId="37" fillId="0" borderId="40" xfId="2" applyFont="1" applyBorder="1" applyAlignment="1">
      <alignment vertical="center" wrapText="1"/>
    </xf>
    <xf numFmtId="0" fontId="37" fillId="0" borderId="25" xfId="2" applyFont="1" applyBorder="1" applyAlignment="1">
      <alignment horizontal="center" vertical="center" wrapText="1"/>
    </xf>
    <xf numFmtId="0" fontId="37" fillId="0" borderId="30" xfId="2" applyFont="1" applyBorder="1" applyAlignment="1">
      <alignment vertical="center" wrapText="1"/>
    </xf>
    <xf numFmtId="0" fontId="37" fillId="0" borderId="17" xfId="2" applyFont="1" applyBorder="1" applyAlignment="1">
      <alignment horizontal="center" vertical="center" wrapText="1"/>
    </xf>
    <xf numFmtId="9" fontId="0" fillId="0" borderId="53" xfId="0" applyNumberFormat="1" applyBorder="1" applyAlignment="1">
      <alignment horizontal="center"/>
    </xf>
    <xf numFmtId="9" fontId="0" fillId="0" borderId="52" xfId="0" applyNumberFormat="1" applyBorder="1" applyAlignment="1">
      <alignment horizontal="center"/>
    </xf>
    <xf numFmtId="0" fontId="0" fillId="20" borderId="0" xfId="0" applyFont="1" applyFill="1" applyAlignment="1">
      <alignment wrapText="1"/>
    </xf>
    <xf numFmtId="0" fontId="0" fillId="21" borderId="0" xfId="0" applyFill="1"/>
    <xf numFmtId="0" fontId="0" fillId="21" borderId="0" xfId="0" applyFill="1" applyBorder="1"/>
    <xf numFmtId="0" fontId="0" fillId="21" borderId="79" xfId="0" applyFill="1" applyBorder="1" applyAlignment="1">
      <alignment horizontal="center" vertical="center"/>
    </xf>
    <xf numFmtId="0" fontId="7" fillId="21" borderId="0" xfId="0" applyFont="1" applyFill="1" applyAlignment="1">
      <alignment vertical="center"/>
    </xf>
    <xf numFmtId="0" fontId="7" fillId="21" borderId="0" xfId="0" applyFont="1" applyFill="1" applyAlignment="1">
      <alignment wrapText="1"/>
    </xf>
    <xf numFmtId="0" fontId="7" fillId="21" borderId="0" xfId="0" applyFont="1" applyFill="1" applyAlignment="1">
      <alignment vertical="center" wrapText="1"/>
    </xf>
    <xf numFmtId="0" fontId="36" fillId="21" borderId="0" xfId="2" applyFill="1"/>
    <xf numFmtId="0" fontId="37" fillId="0" borderId="80" xfId="2" applyFont="1" applyBorder="1" applyAlignment="1">
      <alignment vertical="center" wrapText="1"/>
    </xf>
    <xf numFmtId="0" fontId="37" fillId="0" borderId="81" xfId="2" applyFont="1" applyBorder="1" applyAlignment="1">
      <alignment horizontal="center" vertical="center" wrapText="1"/>
    </xf>
    <xf numFmtId="0" fontId="37" fillId="0" borderId="82" xfId="2" applyFont="1" applyBorder="1" applyAlignment="1">
      <alignment vertical="center" wrapText="1"/>
    </xf>
    <xf numFmtId="3" fontId="37" fillId="0" borderId="1" xfId="2" applyNumberFormat="1" applyFont="1" applyBorder="1" applyAlignment="1">
      <alignment horizontal="center" vertical="center" wrapText="1"/>
    </xf>
    <xf numFmtId="3" fontId="37" fillId="0" borderId="17" xfId="2" applyNumberFormat="1" applyFont="1" applyBorder="1" applyAlignment="1">
      <alignment horizontal="center" vertical="center" wrapText="1"/>
    </xf>
    <xf numFmtId="0" fontId="0" fillId="3" borderId="18" xfId="0" applyFont="1" applyFill="1" applyBorder="1" applyAlignment="1">
      <alignment vertical="center" wrapText="1"/>
    </xf>
    <xf numFmtId="0" fontId="0" fillId="0" borderId="16" xfId="0" applyFont="1" applyBorder="1" applyAlignment="1">
      <alignment horizontal="center"/>
    </xf>
    <xf numFmtId="0" fontId="0" fillId="0" borderId="16" xfId="0" applyBorder="1" applyAlignment="1">
      <alignment horizontal="center"/>
    </xf>
    <xf numFmtId="2" fontId="0" fillId="0" borderId="16" xfId="0" applyNumberFormat="1" applyBorder="1" applyAlignment="1">
      <alignment horizontal="center"/>
    </xf>
    <xf numFmtId="0" fontId="0" fillId="0" borderId="20" xfId="0" applyFill="1" applyBorder="1" applyAlignment="1">
      <alignment horizontal="center"/>
    </xf>
    <xf numFmtId="0" fontId="0" fillId="3" borderId="21" xfId="0" applyFont="1" applyFill="1" applyBorder="1" applyAlignment="1">
      <alignment vertical="center" wrapText="1"/>
    </xf>
    <xf numFmtId="0" fontId="0" fillId="0" borderId="1" xfId="0" applyFon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22" xfId="0" applyFill="1" applyBorder="1" applyAlignment="1">
      <alignment horizontal="center"/>
    </xf>
    <xf numFmtId="0" fontId="0" fillId="3" borderId="23" xfId="0" applyFont="1" applyFill="1" applyBorder="1" applyAlignment="1">
      <alignment vertical="center" wrapText="1"/>
    </xf>
    <xf numFmtId="0" fontId="0" fillId="0" borderId="17" xfId="0" applyFont="1" applyBorder="1" applyAlignment="1">
      <alignment horizontal="center"/>
    </xf>
    <xf numFmtId="0" fontId="0" fillId="0" borderId="17" xfId="0" applyBorder="1" applyAlignment="1">
      <alignment horizontal="center"/>
    </xf>
    <xf numFmtId="2" fontId="0" fillId="0" borderId="17" xfId="0" applyNumberFormat="1" applyBorder="1" applyAlignment="1">
      <alignment horizontal="center"/>
    </xf>
    <xf numFmtId="0" fontId="0" fillId="0" borderId="24" xfId="0" applyFill="1" applyBorder="1" applyAlignment="1">
      <alignment horizontal="center"/>
    </xf>
    <xf numFmtId="0" fontId="0" fillId="10" borderId="51" xfId="0" applyFont="1" applyFill="1" applyBorder="1" applyAlignment="1">
      <alignment vertical="center" wrapText="1"/>
    </xf>
    <xf numFmtId="0" fontId="0" fillId="10" borderId="53" xfId="0" applyFont="1" applyFill="1" applyBorder="1" applyAlignment="1">
      <alignment vertical="center" wrapText="1"/>
    </xf>
    <xf numFmtId="0" fontId="0" fillId="10" borderId="52" xfId="0" applyFont="1" applyFill="1" applyBorder="1" applyAlignment="1">
      <alignment vertical="center" wrapText="1"/>
    </xf>
    <xf numFmtId="2" fontId="7" fillId="0" borderId="25" xfId="0" applyNumberFormat="1" applyFont="1" applyBorder="1" applyAlignment="1">
      <alignment horizontal="center" vertical="center"/>
    </xf>
    <xf numFmtId="1" fontId="7" fillId="0" borderId="25" xfId="0" applyNumberFormat="1" applyFont="1" applyBorder="1" applyAlignment="1">
      <alignment horizontal="center" vertical="center"/>
    </xf>
    <xf numFmtId="0" fontId="7" fillId="8" borderId="36" xfId="0" applyFont="1" applyFill="1" applyBorder="1" applyAlignment="1">
      <alignment horizontal="left" vertical="center"/>
    </xf>
    <xf numFmtId="0" fontId="7" fillId="8" borderId="25" xfId="0" applyFont="1" applyFill="1" applyBorder="1" applyAlignment="1">
      <alignment horizontal="left" vertical="center"/>
    </xf>
    <xf numFmtId="0" fontId="7" fillId="8" borderId="17" xfId="0" applyFont="1" applyFill="1" applyBorder="1" applyAlignment="1">
      <alignment horizontal="left" vertical="center"/>
    </xf>
    <xf numFmtId="0" fontId="7" fillId="0" borderId="25" xfId="0" applyFont="1" applyBorder="1" applyAlignment="1">
      <alignment horizontal="center" vertical="center"/>
    </xf>
    <xf numFmtId="0" fontId="1" fillId="6" borderId="54" xfId="0" applyFont="1" applyFill="1" applyBorder="1" applyAlignment="1">
      <alignment horizontal="center" vertical="center" wrapText="1"/>
    </xf>
    <xf numFmtId="0" fontId="1" fillId="6" borderId="10" xfId="0" applyFont="1" applyFill="1" applyBorder="1" applyAlignment="1">
      <alignment horizontal="left" wrapText="1"/>
    </xf>
    <xf numFmtId="0" fontId="0" fillId="3" borderId="18" xfId="0" applyFill="1" applyBorder="1" applyAlignment="1">
      <alignment horizontal="center"/>
    </xf>
    <xf numFmtId="164" fontId="0" fillId="3" borderId="16" xfId="0" applyNumberFormat="1" applyFill="1" applyBorder="1" applyAlignment="1">
      <alignment horizontal="center"/>
    </xf>
    <xf numFmtId="0" fontId="0" fillId="3" borderId="20" xfId="0" applyFill="1" applyBorder="1"/>
    <xf numFmtId="0" fontId="0" fillId="3" borderId="0" xfId="0" applyFill="1" applyBorder="1" applyAlignment="1">
      <alignment wrapText="1"/>
    </xf>
    <xf numFmtId="0" fontId="17" fillId="3" borderId="35" xfId="0" applyFont="1" applyFill="1" applyBorder="1" applyAlignment="1">
      <alignment horizontal="center"/>
    </xf>
    <xf numFmtId="0" fontId="0" fillId="3" borderId="34" xfId="0" applyFont="1" applyFill="1" applyBorder="1" applyAlignment="1">
      <alignment vertical="center"/>
    </xf>
    <xf numFmtId="0" fontId="0" fillId="3" borderId="34" xfId="0" applyFont="1" applyFill="1" applyBorder="1"/>
    <xf numFmtId="168" fontId="0" fillId="5" borderId="1" xfId="0" applyNumberFormat="1" applyFill="1" applyBorder="1" applyAlignment="1">
      <alignment vertical="center"/>
    </xf>
    <xf numFmtId="0" fontId="7" fillId="3" borderId="36" xfId="0" applyFont="1" applyFill="1" applyBorder="1" applyAlignment="1">
      <alignment vertical="center"/>
    </xf>
    <xf numFmtId="2" fontId="12" fillId="0" borderId="48" xfId="0" applyNumberFormat="1" applyFont="1" applyBorder="1" applyAlignment="1">
      <alignment horizontal="center" vertical="center"/>
    </xf>
    <xf numFmtId="2" fontId="12" fillId="0" borderId="27" xfId="0" applyNumberFormat="1" applyFont="1" applyBorder="1" applyAlignment="1">
      <alignment horizontal="center" vertical="center"/>
    </xf>
    <xf numFmtId="2" fontId="12" fillId="0" borderId="36" xfId="0" applyNumberFormat="1" applyFont="1" applyBorder="1" applyAlignment="1">
      <alignment horizontal="center" vertical="center"/>
    </xf>
    <xf numFmtId="2" fontId="12" fillId="0" borderId="37" xfId="0" applyNumberFormat="1" applyFont="1" applyBorder="1" applyAlignment="1">
      <alignment horizontal="center" vertical="center"/>
    </xf>
    <xf numFmtId="0" fontId="7" fillId="15" borderId="54" xfId="0" applyFont="1" applyFill="1" applyBorder="1" applyAlignment="1">
      <alignment horizontal="left" vertical="center"/>
    </xf>
    <xf numFmtId="0" fontId="7" fillId="15" borderId="58" xfId="0" applyFont="1" applyFill="1" applyBorder="1" applyAlignment="1">
      <alignment horizontal="left" vertical="center"/>
    </xf>
    <xf numFmtId="0" fontId="12" fillId="15" borderId="58" xfId="0" applyFont="1" applyFill="1" applyBorder="1" applyAlignment="1">
      <alignment horizontal="center" vertical="center"/>
    </xf>
    <xf numFmtId="0" fontId="22" fillId="5" borderId="36"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7" fillId="15" borderId="54" xfId="0" applyFont="1" applyFill="1" applyBorder="1" applyAlignment="1">
      <alignment horizontal="left" vertical="center" wrapText="1"/>
    </xf>
    <xf numFmtId="0" fontId="0" fillId="0" borderId="99" xfId="0" applyBorder="1"/>
    <xf numFmtId="0" fontId="22" fillId="3" borderId="100" xfId="0" applyFont="1" applyFill="1" applyBorder="1" applyAlignment="1">
      <alignment horizontal="left" vertical="center" wrapText="1"/>
    </xf>
    <xf numFmtId="0" fontId="9" fillId="5" borderId="37" xfId="0" applyFont="1" applyFill="1" applyBorder="1" applyAlignment="1">
      <alignment horizontal="center" vertical="center" wrapText="1"/>
    </xf>
    <xf numFmtId="2" fontId="12" fillId="0" borderId="42" xfId="0" applyNumberFormat="1" applyFont="1" applyBorder="1" applyAlignment="1">
      <alignment horizontal="center" vertical="center"/>
    </xf>
    <xf numFmtId="2" fontId="12" fillId="0" borderId="49" xfId="0" applyNumberFormat="1" applyFont="1" applyBorder="1" applyAlignment="1">
      <alignment horizontal="center" vertical="center"/>
    </xf>
    <xf numFmtId="2" fontId="12" fillId="0" borderId="29" xfId="0" applyNumberFormat="1" applyFont="1" applyBorder="1" applyAlignment="1">
      <alignment horizontal="center" vertical="center"/>
    </xf>
    <xf numFmtId="0" fontId="7" fillId="3" borderId="19" xfId="0" applyFont="1" applyFill="1" applyBorder="1" applyAlignment="1">
      <alignment horizontal="center" vertical="center"/>
    </xf>
    <xf numFmtId="0" fontId="7" fillId="3" borderId="31" xfId="0" applyFont="1" applyFill="1" applyBorder="1" applyAlignment="1">
      <alignment horizontal="center" vertical="center"/>
    </xf>
    <xf numFmtId="0" fontId="1" fillId="3" borderId="84" xfId="0" applyFont="1" applyFill="1" applyBorder="1" applyAlignment="1">
      <alignment vertical="center"/>
    </xf>
    <xf numFmtId="0" fontId="17" fillId="3" borderId="85" xfId="0" applyFont="1" applyFill="1" applyBorder="1" applyAlignment="1">
      <alignment horizontal="center" vertical="center"/>
    </xf>
    <xf numFmtId="0" fontId="28" fillId="4" borderId="18" xfId="0" applyFont="1" applyFill="1" applyBorder="1" applyAlignment="1">
      <alignment horizontal="center" vertical="center" wrapText="1"/>
    </xf>
    <xf numFmtId="167" fontId="12" fillId="0" borderId="16" xfId="0" applyNumberFormat="1" applyFont="1" applyBorder="1" applyAlignment="1">
      <alignment horizontal="center" vertical="center"/>
    </xf>
    <xf numFmtId="167" fontId="12" fillId="0" borderId="20" xfId="0" applyNumberFormat="1" applyFont="1" applyBorder="1" applyAlignment="1">
      <alignment horizontal="center" vertical="center"/>
    </xf>
    <xf numFmtId="167" fontId="12" fillId="0" borderId="17" xfId="0" applyNumberFormat="1" applyFont="1" applyBorder="1" applyAlignment="1">
      <alignment horizontal="center" vertical="center"/>
    </xf>
    <xf numFmtId="167" fontId="12" fillId="0" borderId="24" xfId="0" applyNumberFormat="1" applyFont="1" applyBorder="1" applyAlignment="1">
      <alignment horizontal="center" vertical="center"/>
    </xf>
    <xf numFmtId="0" fontId="8" fillId="5" borderId="67" xfId="0" applyFont="1" applyFill="1" applyBorder="1" applyAlignment="1">
      <alignment horizontal="center" vertical="center"/>
    </xf>
    <xf numFmtId="0" fontId="8" fillId="19" borderId="44" xfId="0" applyFont="1" applyFill="1" applyBorder="1" applyAlignment="1">
      <alignment horizontal="center" vertical="center" wrapText="1"/>
    </xf>
    <xf numFmtId="0" fontId="8" fillId="19" borderId="42" xfId="0" applyFont="1" applyFill="1" applyBorder="1" applyAlignment="1">
      <alignment horizontal="center" vertical="center" wrapText="1"/>
    </xf>
    <xf numFmtId="0" fontId="8" fillId="19" borderId="17" xfId="0" applyFont="1" applyFill="1" applyBorder="1" applyAlignment="1">
      <alignment horizontal="center" vertical="center" wrapText="1"/>
    </xf>
    <xf numFmtId="0" fontId="8" fillId="19" borderId="49" xfId="0" applyFont="1" applyFill="1" applyBorder="1" applyAlignment="1">
      <alignment horizontal="center" vertical="center" wrapText="1"/>
    </xf>
    <xf numFmtId="0" fontId="7" fillId="0" borderId="4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3" borderId="22" xfId="0" applyFont="1" applyFill="1" applyBorder="1" applyAlignment="1">
      <alignment horizontal="center" vertical="center"/>
    </xf>
    <xf numFmtId="4" fontId="2" fillId="12" borderId="20" xfId="0" applyNumberFormat="1" applyFont="1" applyFill="1" applyBorder="1" applyAlignment="1">
      <alignment horizontal="center" vertical="center" wrapText="1"/>
    </xf>
    <xf numFmtId="4" fontId="2" fillId="12" borderId="22" xfId="0" applyNumberFormat="1" applyFont="1" applyFill="1" applyBorder="1" applyAlignment="1">
      <alignment horizontal="center" vertical="center" wrapText="1"/>
    </xf>
    <xf numFmtId="0" fontId="0" fillId="20" borderId="0" xfId="0" applyFont="1" applyFill="1" applyBorder="1" applyAlignment="1">
      <alignment wrapText="1"/>
    </xf>
    <xf numFmtId="0" fontId="0" fillId="20" borderId="43" xfId="0" applyFont="1" applyFill="1" applyBorder="1" applyAlignment="1">
      <alignment wrapText="1"/>
    </xf>
    <xf numFmtId="0" fontId="12" fillId="3" borderId="32" xfId="0" applyFont="1" applyFill="1" applyBorder="1" applyAlignment="1">
      <alignment horizontal="center" vertical="center" wrapText="1"/>
    </xf>
    <xf numFmtId="0" fontId="8" fillId="19" borderId="101" xfId="0" applyFont="1" applyFill="1" applyBorder="1" applyAlignment="1">
      <alignment vertical="center" wrapText="1"/>
    </xf>
    <xf numFmtId="0" fontId="8" fillId="19" borderId="69" xfId="0" applyFont="1" applyFill="1" applyBorder="1" applyAlignment="1">
      <alignment vertical="center" wrapText="1"/>
    </xf>
    <xf numFmtId="0" fontId="8" fillId="19" borderId="6" xfId="0" applyFont="1" applyFill="1" applyBorder="1" applyAlignment="1">
      <alignment vertical="center" wrapText="1"/>
    </xf>
    <xf numFmtId="0" fontId="8" fillId="19" borderId="9" xfId="0" applyFont="1" applyFill="1" applyBorder="1" applyAlignment="1">
      <alignment vertical="center" wrapText="1"/>
    </xf>
    <xf numFmtId="0" fontId="30" fillId="3" borderId="51" xfId="0" applyFont="1" applyFill="1" applyBorder="1" applyAlignment="1">
      <alignment vertical="center"/>
    </xf>
    <xf numFmtId="2" fontId="12" fillId="0" borderId="23" xfId="0" applyNumberFormat="1" applyFont="1" applyBorder="1" applyAlignment="1">
      <alignment horizontal="center" vertical="center"/>
    </xf>
    <xf numFmtId="0" fontId="8" fillId="0" borderId="6" xfId="0" quotePrefix="1" applyFont="1" applyBorder="1" applyAlignment="1">
      <alignment horizontal="center" vertical="center" wrapText="1"/>
    </xf>
    <xf numFmtId="0" fontId="8" fillId="0" borderId="31" xfId="0" quotePrefix="1" applyFont="1" applyBorder="1" applyAlignment="1">
      <alignment horizontal="center" vertical="center" wrapText="1"/>
    </xf>
    <xf numFmtId="0" fontId="8" fillId="5" borderId="46" xfId="0" applyFont="1" applyFill="1" applyBorder="1" applyAlignment="1">
      <alignment horizontal="center" vertical="center"/>
    </xf>
    <xf numFmtId="169" fontId="12" fillId="3" borderId="16" xfId="0" applyNumberFormat="1" applyFont="1" applyFill="1" applyBorder="1" applyAlignment="1">
      <alignment horizontal="center" vertical="center"/>
    </xf>
    <xf numFmtId="169" fontId="12" fillId="3" borderId="20" xfId="0" applyNumberFormat="1" applyFont="1" applyFill="1" applyBorder="1" applyAlignment="1">
      <alignment horizontal="center" vertical="center"/>
    </xf>
    <xf numFmtId="169" fontId="12" fillId="3" borderId="25" xfId="0" applyNumberFormat="1" applyFont="1" applyFill="1" applyBorder="1" applyAlignment="1">
      <alignment horizontal="center" vertical="center"/>
    </xf>
    <xf numFmtId="169" fontId="12" fillId="3" borderId="30" xfId="0" applyNumberFormat="1" applyFont="1" applyFill="1" applyBorder="1" applyAlignment="1">
      <alignment horizontal="center" vertical="center"/>
    </xf>
    <xf numFmtId="169" fontId="12" fillId="3" borderId="42" xfId="0" applyNumberFormat="1" applyFont="1" applyFill="1" applyBorder="1" applyAlignment="1">
      <alignment horizontal="center" vertical="center"/>
    </xf>
    <xf numFmtId="169" fontId="12" fillId="3" borderId="49" xfId="0" applyNumberFormat="1" applyFont="1" applyFill="1" applyBorder="1" applyAlignment="1">
      <alignment horizontal="center" vertical="center"/>
    </xf>
    <xf numFmtId="0" fontId="9" fillId="2" borderId="24" xfId="0" applyFont="1" applyFill="1" applyBorder="1" applyAlignment="1">
      <alignment vertical="center" wrapText="1"/>
    </xf>
    <xf numFmtId="0" fontId="0" fillId="3" borderId="0" xfId="0" applyFill="1" applyAlignment="1">
      <alignment horizontal="left"/>
    </xf>
    <xf numFmtId="0" fontId="0" fillId="3" borderId="5" xfId="0" applyFill="1" applyBorder="1" applyAlignment="1">
      <alignment horizontal="left" wrapText="1"/>
    </xf>
    <xf numFmtId="0" fontId="0" fillId="3" borderId="0" xfId="0" applyFill="1" applyBorder="1" applyAlignment="1">
      <alignment horizontal="left"/>
    </xf>
    <xf numFmtId="0" fontId="44" fillId="3" borderId="5" xfId="0" applyFont="1" applyFill="1" applyBorder="1" applyAlignment="1">
      <alignment horizontal="left"/>
    </xf>
    <xf numFmtId="0" fontId="0" fillId="3" borderId="5" xfId="0" applyFill="1" applyBorder="1" applyAlignment="1">
      <alignment horizontal="left"/>
    </xf>
    <xf numFmtId="0" fontId="39" fillId="3" borderId="0" xfId="0" applyFont="1" applyFill="1" applyBorder="1" applyAlignment="1">
      <alignment wrapText="1"/>
    </xf>
    <xf numFmtId="0" fontId="44" fillId="3" borderId="5" xfId="0" applyFont="1" applyFill="1" applyBorder="1" applyAlignment="1">
      <alignment wrapText="1"/>
    </xf>
    <xf numFmtId="0" fontId="44" fillId="3" borderId="0" xfId="0" applyFont="1" applyFill="1" applyBorder="1" applyAlignment="1">
      <alignment wrapText="1"/>
    </xf>
    <xf numFmtId="0" fontId="0" fillId="3" borderId="5" xfId="0" applyFill="1" applyBorder="1" applyAlignment="1">
      <alignment wrapText="1"/>
    </xf>
    <xf numFmtId="0" fontId="0" fillId="3" borderId="5" xfId="0" applyFill="1" applyBorder="1" applyAlignment="1"/>
    <xf numFmtId="0" fontId="0" fillId="3" borderId="0" xfId="0" applyFill="1" applyBorder="1" applyAlignment="1"/>
    <xf numFmtId="0" fontId="0" fillId="3" borderId="6" xfId="0" applyFill="1" applyBorder="1" applyAlignment="1">
      <alignment horizontal="left"/>
    </xf>
    <xf numFmtId="0" fontId="0" fillId="3" borderId="8" xfId="0" applyFill="1" applyBorder="1" applyAlignment="1">
      <alignment horizontal="left"/>
    </xf>
    <xf numFmtId="0" fontId="44" fillId="3" borderId="7" xfId="0" applyFont="1" applyFill="1" applyBorder="1" applyAlignment="1">
      <alignment horizontal="left" wrapText="1"/>
    </xf>
    <xf numFmtId="0" fontId="0" fillId="3" borderId="7" xfId="0" applyFill="1" applyBorder="1" applyAlignment="1">
      <alignment horizontal="left"/>
    </xf>
    <xf numFmtId="9" fontId="12" fillId="2" borderId="24" xfId="1" applyFont="1" applyFill="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wrapText="1"/>
    </xf>
    <xf numFmtId="1" fontId="7" fillId="0" borderId="17" xfId="0" applyNumberFormat="1" applyFont="1" applyBorder="1" applyAlignment="1">
      <alignment horizontal="center" vertical="center"/>
    </xf>
    <xf numFmtId="0" fontId="7" fillId="0" borderId="17" xfId="0" applyFont="1" applyBorder="1" applyAlignment="1">
      <alignment vertical="center" wrapText="1"/>
    </xf>
    <xf numFmtId="0" fontId="7" fillId="0" borderId="24" xfId="0" applyFont="1" applyBorder="1" applyAlignment="1">
      <alignment horizontal="center" vertical="center"/>
    </xf>
    <xf numFmtId="0" fontId="30" fillId="3" borderId="53" xfId="0"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2" fontId="7" fillId="3" borderId="1" xfId="0" applyNumberFormat="1" applyFont="1" applyFill="1" applyBorder="1" applyAlignment="1">
      <alignment horizontal="center" vertical="center" wrapText="1"/>
    </xf>
    <xf numFmtId="0" fontId="7" fillId="0" borderId="20" xfId="0" applyFont="1" applyBorder="1" applyAlignment="1">
      <alignment horizontal="center" vertical="center"/>
    </xf>
    <xf numFmtId="165" fontId="7" fillId="0" borderId="17" xfId="0" applyNumberFormat="1" applyFont="1" applyBorder="1" applyAlignment="1">
      <alignment horizontal="center" vertical="center"/>
    </xf>
    <xf numFmtId="0" fontId="7" fillId="2" borderId="23" xfId="0" applyFont="1" applyFill="1" applyBorder="1" applyAlignment="1">
      <alignment horizontal="center" vertical="center"/>
    </xf>
    <xf numFmtId="0" fontId="0" fillId="3" borderId="12" xfId="0" applyFont="1" applyFill="1" applyBorder="1" applyAlignment="1">
      <alignment horizontal="left" wrapText="1"/>
    </xf>
    <xf numFmtId="0" fontId="0" fillId="3" borderId="0" xfId="0" applyFont="1" applyFill="1" applyBorder="1" applyAlignment="1">
      <alignment vertical="center" wrapText="1"/>
    </xf>
    <xf numFmtId="0" fontId="0" fillId="3" borderId="34" xfId="0" applyFont="1" applyFill="1" applyBorder="1" applyAlignment="1">
      <alignment vertical="center" wrapText="1"/>
    </xf>
    <xf numFmtId="0" fontId="0" fillId="3" borderId="83" xfId="0" applyFont="1" applyFill="1" applyBorder="1"/>
    <xf numFmtId="0" fontId="0" fillId="3" borderId="33" xfId="0" applyFont="1" applyFill="1" applyBorder="1" applyAlignment="1">
      <alignment vertical="center"/>
    </xf>
    <xf numFmtId="0" fontId="0" fillId="3" borderId="0" xfId="0" applyFont="1" applyFill="1" applyBorder="1" applyAlignment="1">
      <alignment vertical="center"/>
    </xf>
    <xf numFmtId="0" fontId="0" fillId="3" borderId="12" xfId="0" applyFont="1" applyFill="1" applyBorder="1" applyAlignment="1">
      <alignment wrapText="1"/>
    </xf>
    <xf numFmtId="0" fontId="0" fillId="3" borderId="0" xfId="0" applyFont="1" applyFill="1" applyBorder="1" applyAlignment="1">
      <alignment wrapText="1"/>
    </xf>
    <xf numFmtId="0" fontId="0" fillId="3" borderId="34" xfId="0" applyFont="1" applyFill="1" applyBorder="1" applyAlignment="1">
      <alignment wrapText="1"/>
    </xf>
    <xf numFmtId="0" fontId="0" fillId="3" borderId="0" xfId="0" applyFont="1" applyFill="1" applyBorder="1"/>
    <xf numFmtId="0" fontId="0" fillId="3" borderId="8" xfId="0" applyFont="1" applyFill="1" applyBorder="1" applyAlignment="1">
      <alignment wrapText="1"/>
    </xf>
    <xf numFmtId="0" fontId="0" fillId="3" borderId="8" xfId="0" quotePrefix="1" applyFont="1" applyFill="1" applyBorder="1" applyAlignment="1">
      <alignment horizontal="center" vertical="center"/>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7" fillId="0" borderId="30" xfId="0" applyFont="1" applyBorder="1" applyAlignment="1">
      <alignment horizontal="center" vertical="center"/>
    </xf>
    <xf numFmtId="0" fontId="7" fillId="0" borderId="6" xfId="0" quotePrefix="1" applyFont="1" applyBorder="1" applyAlignment="1">
      <alignment horizontal="center" vertical="center" wrapText="1"/>
    </xf>
    <xf numFmtId="0" fontId="7" fillId="0" borderId="31" xfId="0" quotePrefix="1" applyFont="1" applyBorder="1" applyAlignment="1">
      <alignment horizontal="center" vertical="center" wrapText="1"/>
    </xf>
    <xf numFmtId="0" fontId="0" fillId="0" borderId="0" xfId="0" applyAlignment="1">
      <alignment wrapText="1"/>
    </xf>
    <xf numFmtId="1" fontId="0" fillId="0" borderId="0" xfId="0" applyNumberFormat="1" applyAlignment="1">
      <alignment wrapText="1"/>
    </xf>
    <xf numFmtId="0" fontId="7" fillId="0" borderId="61" xfId="0" applyFont="1" applyBorder="1" applyAlignment="1">
      <alignment wrapText="1"/>
    </xf>
    <xf numFmtId="0" fontId="0" fillId="19" borderId="39" xfId="0" applyFill="1" applyBorder="1" applyAlignment="1">
      <alignment wrapText="1"/>
    </xf>
    <xf numFmtId="0" fontId="7" fillId="19" borderId="26" xfId="0" applyFont="1" applyFill="1" applyBorder="1" applyAlignment="1">
      <alignment wrapText="1"/>
    </xf>
    <xf numFmtId="1" fontId="0" fillId="19" borderId="26" xfId="0" applyNumberFormat="1" applyFill="1" applyBorder="1" applyAlignment="1">
      <alignment wrapText="1"/>
    </xf>
    <xf numFmtId="0" fontId="0" fillId="19" borderId="26" xfId="0" applyFill="1" applyBorder="1" applyAlignment="1">
      <alignment wrapText="1"/>
    </xf>
    <xf numFmtId="0" fontId="0" fillId="19" borderId="28" xfId="0" applyFill="1" applyBorder="1" applyAlignment="1">
      <alignment wrapText="1"/>
    </xf>
    <xf numFmtId="0" fontId="7" fillId="0" borderId="100" xfId="0" applyFont="1" applyBorder="1" applyAlignment="1">
      <alignment wrapText="1"/>
    </xf>
    <xf numFmtId="1" fontId="8" fillId="19" borderId="27" xfId="0" applyNumberFormat="1" applyFont="1" applyFill="1" applyBorder="1" applyAlignment="1">
      <alignment vertical="center" wrapText="1"/>
    </xf>
    <xf numFmtId="0" fontId="7" fillId="0" borderId="103" xfId="0" applyFont="1" applyBorder="1" applyAlignment="1">
      <alignment wrapText="1"/>
    </xf>
    <xf numFmtId="0" fontId="8" fillId="19" borderId="44" xfId="0" applyFont="1" applyFill="1" applyBorder="1" applyAlignment="1">
      <alignment vertical="center" wrapText="1"/>
    </xf>
    <xf numFmtId="0" fontId="8" fillId="19" borderId="42" xfId="0" applyFont="1" applyFill="1" applyBorder="1" applyAlignment="1">
      <alignment vertical="center" wrapText="1"/>
    </xf>
    <xf numFmtId="0" fontId="8" fillId="19" borderId="17" xfId="0" applyFont="1" applyFill="1" applyBorder="1" applyAlignment="1">
      <alignment vertical="center" wrapText="1"/>
    </xf>
    <xf numFmtId="0" fontId="7" fillId="19" borderId="17" xfId="0" applyFont="1" applyFill="1" applyBorder="1" applyAlignment="1">
      <alignment horizontal="center" vertical="center" wrapText="1"/>
    </xf>
    <xf numFmtId="1" fontId="8" fillId="19" borderId="42" xfId="0" applyNumberFormat="1" applyFont="1" applyFill="1" applyBorder="1" applyAlignment="1">
      <alignment vertical="center" wrapText="1"/>
    </xf>
    <xf numFmtId="0" fontId="8" fillId="19" borderId="49" xfId="0" applyFont="1" applyFill="1" applyBorder="1" applyAlignment="1">
      <alignment vertical="center" wrapText="1"/>
    </xf>
    <xf numFmtId="0" fontId="7" fillId="0" borderId="40" xfId="0" applyFont="1" applyBorder="1" applyAlignment="1">
      <alignment horizontal="center" wrapText="1"/>
    </xf>
    <xf numFmtId="0" fontId="7" fillId="8" borderId="25" xfId="0" applyFont="1" applyFill="1" applyBorder="1" applyAlignment="1">
      <alignment horizontal="left" vertical="center" wrapText="1"/>
    </xf>
    <xf numFmtId="2" fontId="7" fillId="0" borderId="25" xfId="0" applyNumberFormat="1" applyFont="1" applyBorder="1" applyAlignment="1">
      <alignment horizontal="center" vertical="center" wrapText="1"/>
    </xf>
    <xf numFmtId="1" fontId="7" fillId="0" borderId="25" xfId="0" applyNumberFormat="1" applyFont="1" applyBorder="1" applyAlignment="1">
      <alignment horizontal="center" vertical="center" wrapText="1"/>
    </xf>
    <xf numFmtId="0" fontId="7" fillId="0" borderId="25" xfId="0" applyFont="1" applyBorder="1" applyAlignment="1">
      <alignment wrapText="1"/>
    </xf>
    <xf numFmtId="0" fontId="7" fillId="0" borderId="30" xfId="0" applyFont="1" applyBorder="1" applyAlignment="1">
      <alignment horizontal="center" wrapText="1"/>
    </xf>
    <xf numFmtId="0" fontId="0" fillId="0" borderId="59" xfId="0" applyBorder="1" applyAlignment="1">
      <alignment wrapText="1"/>
    </xf>
    <xf numFmtId="0" fontId="7" fillId="0" borderId="21" xfId="0" applyFont="1" applyBorder="1" applyAlignment="1">
      <alignment horizontal="center" wrapText="1"/>
    </xf>
    <xf numFmtId="0" fontId="7" fillId="8" borderId="1" xfId="0" applyFont="1" applyFill="1" applyBorder="1" applyAlignment="1">
      <alignment horizontal="left" vertical="center" wrapText="1"/>
    </xf>
    <xf numFmtId="2"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22" xfId="0" applyFont="1" applyBorder="1" applyAlignment="1">
      <alignment horizontal="center" wrapText="1"/>
    </xf>
    <xf numFmtId="0" fontId="7" fillId="0" borderId="59" xfId="0" applyFont="1" applyBorder="1" applyAlignment="1">
      <alignment horizontal="center" vertical="center" wrapText="1"/>
    </xf>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center" vertical="center" wrapText="1"/>
    </xf>
    <xf numFmtId="0" fontId="7" fillId="3" borderId="1" xfId="0" applyFont="1" applyFill="1" applyBorder="1" applyAlignment="1">
      <alignment wrapText="1"/>
    </xf>
    <xf numFmtId="0" fontId="7" fillId="0" borderId="1" xfId="0" applyFont="1" applyBorder="1" applyAlignment="1">
      <alignment horizontal="left" vertical="center" wrapText="1"/>
    </xf>
    <xf numFmtId="0" fontId="7" fillId="8" borderId="36" xfId="0" applyFont="1" applyFill="1" applyBorder="1" applyAlignment="1">
      <alignment horizontal="left" vertical="center" wrapText="1"/>
    </xf>
    <xf numFmtId="0" fontId="7" fillId="3" borderId="1" xfId="0" applyFont="1" applyFill="1" applyBorder="1" applyAlignment="1">
      <alignment horizontal="left" vertical="top" wrapText="1"/>
    </xf>
    <xf numFmtId="0" fontId="7" fillId="3" borderId="100" xfId="0" applyFont="1" applyFill="1" applyBorder="1" applyAlignment="1">
      <alignment horizontal="center" wrapText="1"/>
    </xf>
    <xf numFmtId="0" fontId="7" fillId="3" borderId="1" xfId="0" applyFont="1" applyFill="1" applyBorder="1" applyAlignment="1">
      <alignment horizontal="left" wrapText="1"/>
    </xf>
    <xf numFmtId="0" fontId="7" fillId="0" borderId="1" xfId="0" applyFont="1" applyBorder="1" applyAlignment="1">
      <alignment horizontal="center" wrapText="1"/>
    </xf>
    <xf numFmtId="0" fontId="7" fillId="8" borderId="17" xfId="0" applyFont="1" applyFill="1" applyBorder="1" applyAlignment="1">
      <alignment horizontal="left" vertical="center" wrapText="1"/>
    </xf>
    <xf numFmtId="0" fontId="0" fillId="0" borderId="104" xfId="0" applyBorder="1" applyAlignment="1">
      <alignment wrapText="1"/>
    </xf>
    <xf numFmtId="1" fontId="7" fillId="3" borderId="17" xfId="0" applyNumberFormat="1" applyFont="1" applyFill="1" applyBorder="1" applyAlignment="1">
      <alignment horizontal="center" vertical="center" wrapText="1"/>
    </xf>
    <xf numFmtId="0" fontId="7" fillId="3" borderId="17" xfId="0" applyFont="1" applyFill="1" applyBorder="1" applyAlignment="1">
      <alignment vertical="center" wrapText="1"/>
    </xf>
    <xf numFmtId="0" fontId="7" fillId="0" borderId="21" xfId="0" applyFont="1" applyFill="1" applyBorder="1" applyAlignment="1">
      <alignment horizontal="center" wrapText="1"/>
    </xf>
    <xf numFmtId="0" fontId="7" fillId="0" borderId="0" xfId="0" applyFont="1" applyFill="1" applyAlignment="1">
      <alignment horizontal="center" vertical="center" wrapText="1"/>
    </xf>
    <xf numFmtId="0" fontId="7" fillId="0" borderId="21"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23"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21" xfId="0" applyFont="1" applyFill="1" applyBorder="1" applyAlignment="1">
      <alignment vertical="center"/>
    </xf>
    <xf numFmtId="0" fontId="4" fillId="3" borderId="0" xfId="0" applyFont="1" applyFill="1" applyAlignment="1">
      <alignment vertical="center" wrapText="1"/>
    </xf>
    <xf numFmtId="0" fontId="0" fillId="3" borderId="0" xfId="0" applyFill="1" applyAlignment="1">
      <alignment vertical="center" wrapText="1"/>
    </xf>
    <xf numFmtId="0" fontId="1" fillId="3" borderId="1" xfId="0" applyFont="1" applyFill="1" applyBorder="1" applyAlignment="1">
      <alignment vertical="center" wrapText="1"/>
    </xf>
    <xf numFmtId="0" fontId="50" fillId="3" borderId="1" xfId="3" applyFill="1" applyBorder="1" applyAlignment="1">
      <alignment vertical="center" wrapText="1"/>
    </xf>
    <xf numFmtId="0" fontId="0" fillId="3" borderId="1" xfId="0" applyFill="1" applyBorder="1" applyAlignment="1">
      <alignment vertical="center" wrapText="1"/>
    </xf>
    <xf numFmtId="0" fontId="7" fillId="0" borderId="17" xfId="0" applyFont="1" applyBorder="1" applyAlignment="1">
      <alignment horizontal="center" vertical="center"/>
    </xf>
    <xf numFmtId="0" fontId="21" fillId="7" borderId="17" xfId="0" applyFont="1" applyFill="1" applyBorder="1" applyAlignment="1">
      <alignment horizontal="center" vertical="center" wrapText="1"/>
    </xf>
    <xf numFmtId="0" fontId="7" fillId="21" borderId="2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Fill="1" applyBorder="1" applyAlignment="1">
      <alignment horizontal="left" wrapText="1"/>
    </xf>
    <xf numFmtId="0" fontId="7" fillId="3" borderId="17" xfId="0" applyFont="1" applyFill="1" applyBorder="1" applyAlignment="1">
      <alignment horizontal="left" wrapText="1"/>
    </xf>
    <xf numFmtId="0" fontId="7" fillId="0" borderId="22" xfId="0" applyFont="1" applyBorder="1" applyAlignment="1">
      <alignment horizontal="center" vertical="center" wrapText="1"/>
    </xf>
    <xf numFmtId="0" fontId="7" fillId="3" borderId="22"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18"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7" fillId="0" borderId="59" xfId="0" applyFont="1" applyBorder="1" applyAlignment="1">
      <alignment wrapText="1"/>
    </xf>
    <xf numFmtId="0" fontId="7" fillId="0" borderId="0" xfId="0" applyFont="1" applyFill="1" applyBorder="1" applyAlignment="1">
      <alignment wrapText="1"/>
    </xf>
    <xf numFmtId="0" fontId="7" fillId="0" borderId="0" xfId="0" applyFont="1" applyFill="1" applyAlignment="1">
      <alignment wrapText="1"/>
    </xf>
    <xf numFmtId="0" fontId="7" fillId="0" borderId="0" xfId="0" applyFont="1" applyBorder="1" applyAlignment="1">
      <alignment wrapText="1"/>
    </xf>
    <xf numFmtId="0" fontId="0" fillId="9" borderId="8" xfId="0" applyFont="1" applyFill="1" applyBorder="1" applyAlignment="1">
      <alignment horizontal="center" vertical="center"/>
    </xf>
    <xf numFmtId="0" fontId="0" fillId="9" borderId="9" xfId="0" applyFont="1" applyFill="1" applyBorder="1" applyAlignment="1">
      <alignment horizontal="center" vertical="center"/>
    </xf>
    <xf numFmtId="0" fontId="0" fillId="3" borderId="0" xfId="0" applyFont="1" applyFill="1" applyAlignment="1">
      <alignment vertical="center"/>
    </xf>
    <xf numFmtId="0" fontId="0" fillId="3" borderId="40" xfId="0" applyFill="1" applyBorder="1" applyAlignment="1">
      <alignment horizontal="center"/>
    </xf>
    <xf numFmtId="0" fontId="30"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2" xfId="0" applyFont="1" applyFill="1" applyBorder="1" applyAlignment="1">
      <alignment horizontal="center" vertical="center" wrapText="1"/>
    </xf>
    <xf numFmtId="0" fontId="7" fillId="3" borderId="0" xfId="0" applyFont="1" applyFill="1" applyAlignment="1">
      <alignment wrapText="1"/>
    </xf>
    <xf numFmtId="1" fontId="0" fillId="3" borderId="0" xfId="0" applyNumberFormat="1" applyFill="1" applyAlignment="1">
      <alignment wrapText="1"/>
    </xf>
    <xf numFmtId="0" fontId="8" fillId="3" borderId="0" xfId="0" applyFont="1" applyFill="1"/>
    <xf numFmtId="0" fontId="20" fillId="3" borderId="0" xfId="0" applyFont="1" applyFill="1"/>
    <xf numFmtId="0" fontId="29" fillId="3" borderId="0" xfId="0" applyFont="1" applyFill="1" applyAlignment="1">
      <alignment vertical="center"/>
    </xf>
    <xf numFmtId="0" fontId="2" fillId="3" borderId="12" xfId="0" applyFont="1" applyFill="1" applyBorder="1" applyAlignment="1">
      <alignment horizontal="center" vertical="center"/>
    </xf>
    <xf numFmtId="167" fontId="2" fillId="0" borderId="12" xfId="0" applyNumberFormat="1" applyFont="1" applyBorder="1" applyAlignment="1">
      <alignment horizontal="center" vertical="center"/>
    </xf>
    <xf numFmtId="0" fontId="2" fillId="3" borderId="0"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83" xfId="0" applyFont="1" applyFill="1" applyBorder="1" applyAlignment="1">
      <alignment horizontal="center" vertical="center"/>
    </xf>
    <xf numFmtId="168" fontId="9" fillId="5" borderId="22" xfId="0" applyNumberFormat="1" applyFont="1" applyFill="1" applyBorder="1" applyAlignment="1">
      <alignment horizontal="center" vertical="center" wrapText="1"/>
    </xf>
    <xf numFmtId="168" fontId="9" fillId="5" borderId="37" xfId="0" applyNumberFormat="1" applyFont="1" applyFill="1" applyBorder="1" applyAlignment="1">
      <alignment horizontal="center" vertical="center" wrapText="1"/>
    </xf>
    <xf numFmtId="0" fontId="17" fillId="3" borderId="106" xfId="0" applyFont="1" applyFill="1" applyBorder="1" applyAlignment="1">
      <alignment horizontal="center" vertical="center" wrapText="1"/>
    </xf>
    <xf numFmtId="0" fontId="7" fillId="14" borderId="17" xfId="0" applyFont="1" applyFill="1" applyBorder="1" applyAlignment="1">
      <alignment horizontal="center" vertical="center" wrapText="1"/>
    </xf>
    <xf numFmtId="2" fontId="7" fillId="23" borderId="25" xfId="0" applyNumberFormat="1" applyFont="1" applyFill="1" applyBorder="1" applyAlignment="1">
      <alignment horizontal="center" vertical="center" wrapText="1"/>
    </xf>
    <xf numFmtId="2" fontId="7" fillId="23" borderId="17" xfId="0" applyNumberFormat="1"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52" xfId="0" applyFont="1" applyFill="1" applyBorder="1" applyAlignment="1">
      <alignment horizontal="center" vertical="center" wrapText="1"/>
    </xf>
    <xf numFmtId="169" fontId="12" fillId="23" borderId="51" xfId="0" applyNumberFormat="1" applyFont="1" applyFill="1" applyBorder="1" applyAlignment="1">
      <alignment horizontal="center" vertical="center"/>
    </xf>
    <xf numFmtId="169" fontId="12" fillId="23" borderId="110" xfId="0" applyNumberFormat="1" applyFont="1" applyFill="1" applyBorder="1" applyAlignment="1">
      <alignment horizontal="center" vertical="center"/>
    </xf>
    <xf numFmtId="169" fontId="12" fillId="23" borderId="58" xfId="0" applyNumberFormat="1" applyFont="1" applyFill="1" applyBorder="1" applyAlignment="1">
      <alignment horizontal="center" vertical="center"/>
    </xf>
    <xf numFmtId="0" fontId="7" fillId="23" borderId="16" xfId="0" applyFont="1" applyFill="1" applyBorder="1" applyAlignment="1">
      <alignment vertical="center"/>
    </xf>
    <xf numFmtId="0" fontId="7" fillId="23" borderId="19" xfId="0" applyFont="1" applyFill="1" applyBorder="1" applyAlignment="1">
      <alignment horizontal="center" vertical="center"/>
    </xf>
    <xf numFmtId="0" fontId="7" fillId="23" borderId="17" xfId="0" applyFont="1" applyFill="1" applyBorder="1" applyAlignment="1">
      <alignment vertical="center"/>
    </xf>
    <xf numFmtId="0" fontId="7" fillId="23" borderId="31" xfId="0" applyFont="1" applyFill="1" applyBorder="1" applyAlignment="1">
      <alignment horizontal="center" vertical="center"/>
    </xf>
    <xf numFmtId="2" fontId="7" fillId="0" borderId="36" xfId="0" applyNumberFormat="1" applyFont="1" applyBorder="1" applyAlignment="1">
      <alignment horizontal="center" vertical="center" wrapText="1"/>
    </xf>
    <xf numFmtId="2" fontId="7" fillId="0" borderId="17"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7" fillId="3" borderId="17" xfId="0" applyNumberFormat="1" applyFont="1" applyFill="1" applyBorder="1" applyAlignment="1">
      <alignment horizontal="center" vertical="center" wrapText="1"/>
    </xf>
    <xf numFmtId="2" fontId="7" fillId="23" borderId="1" xfId="0" applyNumberFormat="1" applyFont="1" applyFill="1" applyBorder="1" applyAlignment="1">
      <alignment horizontal="center" vertical="center" wrapText="1"/>
    </xf>
    <xf numFmtId="168" fontId="9" fillId="5" borderId="24" xfId="0" applyNumberFormat="1" applyFont="1" applyFill="1" applyBorder="1" applyAlignment="1">
      <alignment horizontal="center" vertical="center" wrapText="1"/>
    </xf>
    <xf numFmtId="0" fontId="7" fillId="3" borderId="0" xfId="0" applyFont="1" applyFill="1" applyBorder="1" applyAlignment="1">
      <alignment vertical="center"/>
    </xf>
    <xf numFmtId="0" fontId="7" fillId="3" borderId="0" xfId="0" applyFont="1" applyFill="1" applyBorder="1"/>
    <xf numFmtId="170" fontId="0" fillId="3" borderId="0" xfId="0" applyNumberFormat="1" applyFill="1" applyBorder="1" applyAlignment="1">
      <alignment horizontal="center"/>
    </xf>
    <xf numFmtId="2" fontId="7" fillId="23" borderId="42" xfId="0" applyNumberFormat="1" applyFont="1" applyFill="1" applyBorder="1" applyAlignment="1">
      <alignment horizontal="center" vertical="center" wrapText="1"/>
    </xf>
    <xf numFmtId="0" fontId="0" fillId="23" borderId="0" xfId="0" applyFill="1" applyBorder="1"/>
    <xf numFmtId="0" fontId="0" fillId="23" borderId="0" xfId="0" applyFill="1" applyBorder="1" applyAlignment="1">
      <alignment horizontal="center" vertical="center"/>
    </xf>
    <xf numFmtId="0" fontId="0" fillId="23" borderId="34" xfId="0" applyFill="1" applyBorder="1"/>
    <xf numFmtId="0" fontId="0" fillId="23" borderId="34" xfId="0" applyFill="1" applyBorder="1" applyAlignment="1">
      <alignment horizontal="center" vertical="center"/>
    </xf>
    <xf numFmtId="0" fontId="0" fillId="0" borderId="33" xfId="0" applyFont="1" applyFill="1" applyBorder="1"/>
    <xf numFmtId="0" fontId="0" fillId="23" borderId="0" xfId="0" applyFont="1" applyFill="1" applyBorder="1"/>
    <xf numFmtId="0" fontId="2" fillId="23" borderId="0" xfId="0" applyFont="1" applyFill="1" applyBorder="1" applyAlignment="1">
      <alignment horizontal="center" vertical="center"/>
    </xf>
    <xf numFmtId="0" fontId="0" fillId="23" borderId="34" xfId="0" applyFont="1" applyFill="1" applyBorder="1"/>
    <xf numFmtId="0" fontId="2" fillId="23" borderId="34" xfId="0" applyFont="1" applyFill="1" applyBorder="1" applyAlignment="1">
      <alignment horizontal="center" vertical="center"/>
    </xf>
    <xf numFmtId="0" fontId="0" fillId="23" borderId="0" xfId="0" applyFont="1" applyFill="1" applyBorder="1" applyAlignment="1">
      <alignment horizontal="left"/>
    </xf>
    <xf numFmtId="0" fontId="0" fillId="23" borderId="34" xfId="0" applyFont="1" applyFill="1" applyBorder="1" applyAlignment="1">
      <alignment horizontal="left"/>
    </xf>
    <xf numFmtId="0" fontId="0" fillId="23" borderId="0" xfId="0" applyFill="1" applyBorder="1" applyAlignment="1">
      <alignment horizontal="left" vertical="center"/>
    </xf>
    <xf numFmtId="0" fontId="0" fillId="23" borderId="34" xfId="0" applyFill="1" applyBorder="1" applyAlignment="1">
      <alignment horizontal="left" vertical="center"/>
    </xf>
    <xf numFmtId="164" fontId="2" fillId="3" borderId="34" xfId="0" applyNumberFormat="1" applyFont="1" applyFill="1" applyBorder="1" applyAlignment="1">
      <alignment horizontal="center" vertical="center"/>
    </xf>
    <xf numFmtId="167" fontId="2" fillId="3" borderId="0" xfId="0" applyNumberFormat="1" applyFont="1" applyFill="1" applyBorder="1" applyAlignment="1">
      <alignment horizontal="center" vertical="center"/>
    </xf>
    <xf numFmtId="0" fontId="0" fillId="3" borderId="33" xfId="0" applyFont="1" applyFill="1" applyBorder="1"/>
    <xf numFmtId="0" fontId="2" fillId="3" borderId="33" xfId="0" applyFont="1" applyFill="1" applyBorder="1" applyAlignment="1">
      <alignment horizontal="center" vertical="center"/>
    </xf>
    <xf numFmtId="0" fontId="0" fillId="3" borderId="0" xfId="0" applyFill="1" applyAlignment="1">
      <alignment horizontal="left" vertical="top" wrapText="1"/>
    </xf>
    <xf numFmtId="0" fontId="0" fillId="3" borderId="8" xfId="0" applyFont="1" applyFill="1" applyBorder="1" applyAlignment="1">
      <alignment vertical="center"/>
    </xf>
    <xf numFmtId="0" fontId="2" fillId="10" borderId="12" xfId="0" applyFont="1" applyFill="1" applyBorder="1" applyAlignment="1">
      <alignment horizontal="center" vertical="center"/>
    </xf>
    <xf numFmtId="0" fontId="2" fillId="10" borderId="0" xfId="0" applyFont="1" applyFill="1" applyBorder="1" applyAlignment="1">
      <alignment horizontal="center" vertical="center"/>
    </xf>
    <xf numFmtId="0" fontId="2" fillId="10" borderId="34" xfId="0" applyFont="1" applyFill="1" applyBorder="1" applyAlignment="1">
      <alignment horizontal="center" vertical="center"/>
    </xf>
    <xf numFmtId="0" fontId="2" fillId="10" borderId="33" xfId="0" applyFont="1" applyFill="1" applyBorder="1" applyAlignment="1">
      <alignment horizontal="center" vertical="center"/>
    </xf>
    <xf numFmtId="0" fontId="2" fillId="10" borderId="83" xfId="0" applyFont="1" applyFill="1" applyBorder="1" applyAlignment="1">
      <alignment horizontal="center" vertical="center"/>
    </xf>
    <xf numFmtId="0" fontId="0" fillId="10" borderId="0" xfId="0" applyFill="1" applyBorder="1" applyAlignment="1">
      <alignment horizontal="center" vertical="center"/>
    </xf>
    <xf numFmtId="0" fontId="0" fillId="10" borderId="34" xfId="0" applyFill="1" applyBorder="1" applyAlignment="1">
      <alignment horizontal="center" vertical="center"/>
    </xf>
    <xf numFmtId="2" fontId="12" fillId="0" borderId="25" xfId="0" applyNumberFormat="1" applyFont="1" applyBorder="1" applyAlignment="1">
      <alignment horizontal="center" vertical="center" wrapText="1"/>
    </xf>
    <xf numFmtId="0" fontId="7" fillId="0" borderId="23" xfId="0" applyFont="1" applyFill="1" applyBorder="1" applyAlignment="1">
      <alignment horizontal="center" wrapText="1"/>
    </xf>
    <xf numFmtId="0" fontId="7" fillId="0" borderId="17" xfId="0" applyFont="1" applyBorder="1" applyAlignment="1">
      <alignment horizontal="left" wrapText="1"/>
    </xf>
    <xf numFmtId="0" fontId="30" fillId="7" borderId="16" xfId="0" applyFont="1" applyFill="1" applyBorder="1" applyAlignment="1">
      <alignment horizontal="center" vertical="center" wrapText="1"/>
    </xf>
    <xf numFmtId="164" fontId="7" fillId="0" borderId="25" xfId="0" applyNumberFormat="1" applyFont="1" applyBorder="1" applyAlignment="1">
      <alignment horizontal="center" vertical="center" wrapText="1"/>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7" xfId="0" applyFont="1" applyBorder="1" applyAlignment="1">
      <alignment wrapText="1"/>
    </xf>
    <xf numFmtId="0" fontId="7" fillId="0" borderId="24"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8" xfId="0" applyFont="1" applyFill="1" applyBorder="1" applyAlignment="1">
      <alignment horizontal="center" wrapText="1"/>
    </xf>
    <xf numFmtId="0" fontId="7" fillId="0" borderId="16" xfId="0" applyFont="1" applyBorder="1" applyAlignment="1">
      <alignment horizontal="left" vertical="center" wrapText="1"/>
    </xf>
    <xf numFmtId="0" fontId="7" fillId="8" borderId="16" xfId="0" applyFont="1" applyFill="1" applyBorder="1" applyAlignment="1">
      <alignment horizontal="left" vertical="center" wrapText="1"/>
    </xf>
    <xf numFmtId="1" fontId="7" fillId="0" borderId="16"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xf>
    <xf numFmtId="0" fontId="7" fillId="0" borderId="18" xfId="0" applyFont="1" applyBorder="1" applyAlignment="1">
      <alignment horizontal="center" vertical="center"/>
    </xf>
    <xf numFmtId="0" fontId="21" fillId="7" borderId="25" xfId="0" applyFont="1" applyFill="1" applyBorder="1" applyAlignment="1">
      <alignment horizontal="center" vertical="center" wrapText="1"/>
    </xf>
    <xf numFmtId="0" fontId="7" fillId="0" borderId="36" xfId="0" applyFont="1" applyBorder="1" applyAlignment="1">
      <alignment horizontal="left" vertical="center"/>
    </xf>
    <xf numFmtId="0" fontId="7" fillId="0" borderId="36" xfId="0" applyFont="1" applyBorder="1" applyAlignment="1">
      <alignment horizontal="center" vertical="center"/>
    </xf>
    <xf numFmtId="164" fontId="7" fillId="0" borderId="25" xfId="0" applyNumberFormat="1" applyFont="1" applyBorder="1" applyAlignment="1">
      <alignment horizontal="center" vertical="center"/>
    </xf>
    <xf numFmtId="0" fontId="0" fillId="3" borderId="0" xfId="0" applyFill="1" applyBorder="1" applyAlignment="1">
      <alignment horizontal="left" wrapText="1"/>
    </xf>
    <xf numFmtId="0" fontId="9" fillId="9" borderId="16"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2" fillId="3" borderId="0" xfId="0" applyFont="1" applyFill="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3" borderId="0" xfId="0" applyFont="1" applyFill="1" applyAlignment="1">
      <alignment horizontal="left" vertical="center" wrapText="1"/>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1" xfId="0" applyFont="1" applyFill="1" applyBorder="1" applyAlignment="1">
      <alignment horizontal="center" vertical="center"/>
    </xf>
    <xf numFmtId="0" fontId="12" fillId="3" borderId="0" xfId="0" applyFont="1" applyFill="1" applyAlignment="1">
      <alignment horizontal="center" vertical="center" wrapText="1"/>
    </xf>
    <xf numFmtId="0" fontId="7" fillId="3" borderId="1" xfId="0" applyFont="1" applyFill="1" applyBorder="1" applyAlignment="1">
      <alignment horizontal="center" vertical="center"/>
    </xf>
    <xf numFmtId="0" fontId="33" fillId="3" borderId="32"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4" xfId="0" applyFont="1" applyFill="1" applyBorder="1" applyAlignment="1">
      <alignment horizontal="center"/>
    </xf>
    <xf numFmtId="165" fontId="0" fillId="3" borderId="1" xfId="0" applyNumberFormat="1" applyFill="1" applyBorder="1" applyAlignment="1">
      <alignment horizontal="left" vertical="top"/>
    </xf>
    <xf numFmtId="0" fontId="17" fillId="3" borderId="34" xfId="0" applyFont="1" applyFill="1" applyBorder="1" applyAlignment="1">
      <alignment horizontal="center" vertical="center" wrapText="1"/>
    </xf>
    <xf numFmtId="0" fontId="0" fillId="3" borderId="0" xfId="0" applyFill="1" applyBorder="1" applyAlignment="1">
      <alignment horizontal="left" vertical="top" wrapText="1"/>
    </xf>
    <xf numFmtId="0" fontId="26" fillId="2" borderId="23" xfId="0" applyFont="1" applyFill="1" applyBorder="1" applyAlignment="1" applyProtection="1">
      <alignment horizontal="center" vertical="center" wrapText="1"/>
      <protection locked="0"/>
    </xf>
    <xf numFmtId="0" fontId="26" fillId="2" borderId="17" xfId="0" applyFont="1" applyFill="1" applyBorder="1" applyAlignment="1" applyProtection="1">
      <alignment vertical="center" wrapText="1"/>
      <protection locked="0"/>
    </xf>
    <xf numFmtId="9" fontId="26" fillId="2" borderId="24" xfId="1" applyFont="1" applyFill="1" applyBorder="1" applyAlignment="1" applyProtection="1">
      <alignment horizontal="center" vertical="center"/>
      <protection locked="0"/>
    </xf>
    <xf numFmtId="1" fontId="26" fillId="2" borderId="24" xfId="1" applyNumberFormat="1" applyFont="1" applyFill="1" applyBorder="1" applyAlignment="1" applyProtection="1">
      <alignment horizontal="center" vertical="center" wrapText="1"/>
      <protection locked="0"/>
    </xf>
    <xf numFmtId="0" fontId="51" fillId="0" borderId="0" xfId="0" applyFont="1" applyFill="1" applyAlignment="1">
      <alignment horizontal="center" vertical="top" wrapText="1"/>
    </xf>
    <xf numFmtId="0" fontId="46" fillId="17" borderId="5" xfId="0" applyFont="1" applyFill="1" applyBorder="1" applyAlignment="1">
      <alignment horizontal="left"/>
    </xf>
    <xf numFmtId="0" fontId="46" fillId="17" borderId="0" xfId="0" applyFont="1" applyFill="1" applyBorder="1" applyAlignment="1">
      <alignment horizontal="left"/>
    </xf>
    <xf numFmtId="0" fontId="46" fillId="17" borderId="7" xfId="0" applyFont="1" applyFill="1" applyBorder="1" applyAlignment="1">
      <alignment horizontal="left"/>
    </xf>
    <xf numFmtId="0" fontId="44" fillId="3" borderId="0" xfId="0" applyFont="1" applyFill="1" applyBorder="1" applyAlignment="1">
      <alignment horizontal="left" vertical="top" wrapText="1"/>
    </xf>
    <xf numFmtId="0" fontId="39" fillId="3" borderId="0" xfId="0" applyFont="1" applyFill="1" applyBorder="1" applyAlignment="1">
      <alignment horizontal="left" wrapText="1"/>
    </xf>
    <xf numFmtId="0" fontId="0" fillId="3" borderId="0" xfId="0" applyFill="1" applyBorder="1" applyAlignment="1">
      <alignment horizontal="left" wrapText="1"/>
    </xf>
    <xf numFmtId="0" fontId="44" fillId="3" borderId="0" xfId="0" applyFont="1" applyFill="1" applyBorder="1" applyAlignment="1">
      <alignment horizontal="left" wrapText="1"/>
    </xf>
    <xf numFmtId="0" fontId="44" fillId="3" borderId="0" xfId="0" applyFont="1" applyFill="1" applyBorder="1" applyAlignment="1">
      <alignment vertical="top" wrapText="1"/>
    </xf>
    <xf numFmtId="0" fontId="0" fillId="0" borderId="0" xfId="0" applyBorder="1" applyAlignment="1">
      <alignment horizontal="left" wrapText="1"/>
    </xf>
    <xf numFmtId="0" fontId="0" fillId="3" borderId="0" xfId="0" applyFont="1" applyFill="1" applyBorder="1" applyAlignment="1">
      <alignment horizontal="left" vertical="center"/>
    </xf>
    <xf numFmtId="0" fontId="47" fillId="3" borderId="2" xfId="0" applyFont="1" applyFill="1" applyBorder="1" applyAlignment="1">
      <alignment horizontal="center"/>
    </xf>
    <xf numFmtId="0" fontId="47" fillId="3" borderId="3" xfId="0" applyFont="1" applyFill="1" applyBorder="1" applyAlignment="1">
      <alignment horizontal="center"/>
    </xf>
    <xf numFmtId="0" fontId="47" fillId="3" borderId="4" xfId="0" applyFont="1" applyFill="1" applyBorder="1" applyAlignment="1">
      <alignment horizontal="center"/>
    </xf>
    <xf numFmtId="0" fontId="9" fillId="2" borderId="4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9" fillId="9" borderId="16"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0" fillId="3" borderId="27" xfId="0" applyNumberFormat="1" applyFill="1" applyBorder="1" applyAlignment="1">
      <alignment horizontal="center" vertical="center"/>
    </xf>
    <xf numFmtId="0" fontId="0" fillId="3" borderId="42" xfId="0" applyNumberFormat="1" applyFill="1" applyBorder="1" applyAlignment="1">
      <alignment horizontal="center" vertical="center"/>
    </xf>
    <xf numFmtId="0" fontId="7" fillId="3" borderId="2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5" borderId="66" xfId="0" applyFont="1" applyFill="1" applyBorder="1" applyAlignment="1">
      <alignment horizontal="center" vertical="center" wrapText="1"/>
    </xf>
    <xf numFmtId="0" fontId="12" fillId="23" borderId="18" xfId="0" applyFont="1" applyFill="1" applyBorder="1" applyAlignment="1">
      <alignment horizontal="center" vertical="center" wrapText="1"/>
    </xf>
    <xf numFmtId="0" fontId="12" fillId="23" borderId="23"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0" fillId="23" borderId="27" xfId="0" applyNumberFormat="1" applyFill="1" applyBorder="1" applyAlignment="1">
      <alignment horizontal="center" vertical="center"/>
    </xf>
    <xf numFmtId="0" fontId="0" fillId="23" borderId="42" xfId="0" applyNumberFormat="1" applyFill="1" applyBorder="1" applyAlignment="1">
      <alignment horizontal="center" vertical="center"/>
    </xf>
    <xf numFmtId="0" fontId="2" fillId="3" borderId="0" xfId="0" applyFont="1" applyFill="1" applyAlignment="1">
      <alignment horizontal="center" vertical="center" wrapText="1"/>
    </xf>
    <xf numFmtId="0" fontId="27" fillId="4" borderId="56" xfId="0" applyFont="1" applyFill="1" applyBorder="1" applyAlignment="1">
      <alignment horizontal="center" vertical="center" wrapText="1"/>
    </xf>
    <xf numFmtId="0" fontId="27" fillId="4" borderId="57" xfId="0" applyFont="1" applyFill="1" applyBorder="1" applyAlignment="1">
      <alignment horizontal="center" vertical="center" wrapText="1"/>
    </xf>
    <xf numFmtId="0" fontId="27" fillId="4" borderId="61" xfId="0" applyFont="1" applyFill="1" applyBorder="1" applyAlignment="1">
      <alignment horizontal="center" vertical="center" wrapText="1"/>
    </xf>
    <xf numFmtId="0" fontId="27" fillId="4" borderId="62"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6"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18"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6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27" fillId="4" borderId="46" xfId="0" applyFont="1" applyFill="1" applyBorder="1" applyAlignment="1">
      <alignment horizontal="center" vertical="center" wrapText="1"/>
    </xf>
    <xf numFmtId="0" fontId="27" fillId="4" borderId="47" xfId="0" applyFont="1" applyFill="1" applyBorder="1" applyAlignment="1">
      <alignment horizontal="center" vertical="center" wrapText="1"/>
    </xf>
    <xf numFmtId="0" fontId="2" fillId="3" borderId="0" xfId="0" applyFont="1" applyFill="1" applyAlignment="1">
      <alignment horizontal="left" vertical="center" wrapText="1"/>
    </xf>
    <xf numFmtId="0" fontId="9" fillId="5" borderId="4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168" fontId="7" fillId="2" borderId="21" xfId="0" applyNumberFormat="1"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1" xfId="0" applyFont="1" applyFill="1" applyBorder="1" applyAlignment="1">
      <alignment horizontal="center" vertical="center"/>
    </xf>
    <xf numFmtId="0" fontId="9" fillId="5" borderId="23" xfId="0" applyFont="1" applyFill="1" applyBorder="1" applyAlignment="1">
      <alignment horizontal="center" vertical="center" wrapText="1"/>
    </xf>
    <xf numFmtId="0" fontId="11" fillId="3" borderId="32" xfId="0" applyFont="1" applyFill="1" applyBorder="1" applyAlignment="1">
      <alignment horizontal="left" vertical="center"/>
    </xf>
    <xf numFmtId="0" fontId="11" fillId="3" borderId="0" xfId="0" applyFont="1" applyFill="1" applyBorder="1" applyAlignment="1">
      <alignment horizontal="left" vertical="center"/>
    </xf>
    <xf numFmtId="0" fontId="0" fillId="3" borderId="90" xfId="0" applyFill="1" applyBorder="1" applyAlignment="1">
      <alignment horizontal="center" vertical="center" wrapText="1"/>
    </xf>
    <xf numFmtId="0" fontId="0" fillId="3" borderId="96" xfId="0" applyFill="1" applyBorder="1" applyAlignment="1">
      <alignment horizontal="center" vertical="center" wrapText="1"/>
    </xf>
    <xf numFmtId="0" fontId="17" fillId="3" borderId="87" xfId="0" applyFont="1" applyFill="1" applyBorder="1" applyAlignment="1">
      <alignment horizontal="center" vertical="center" wrapText="1"/>
    </xf>
    <xf numFmtId="0" fontId="17" fillId="3" borderId="90" xfId="0" applyFont="1" applyFill="1" applyBorder="1" applyAlignment="1">
      <alignment horizontal="center" vertical="center" wrapText="1"/>
    </xf>
    <xf numFmtId="0" fontId="17" fillId="3" borderId="96" xfId="0" applyFont="1" applyFill="1" applyBorder="1" applyAlignment="1">
      <alignment horizontal="center" vertical="center" wrapText="1"/>
    </xf>
    <xf numFmtId="0" fontId="0" fillId="3" borderId="91" xfId="0" applyFont="1" applyFill="1" applyBorder="1" applyAlignment="1">
      <alignment horizontal="center" vertical="center" wrapText="1"/>
    </xf>
    <xf numFmtId="0" fontId="0" fillId="23" borderId="96" xfId="0" applyFill="1" applyBorder="1" applyAlignment="1">
      <alignment horizontal="center" vertical="center" wrapText="1"/>
    </xf>
    <xf numFmtId="0" fontId="0" fillId="23" borderId="107" xfId="0" applyFill="1" applyBorder="1" applyAlignment="1">
      <alignment horizontal="center" vertical="center" wrapText="1"/>
    </xf>
    <xf numFmtId="0" fontId="0" fillId="23" borderId="97" xfId="0" applyFill="1" applyBorder="1" applyAlignment="1">
      <alignment horizontal="center" vertical="center" wrapText="1"/>
    </xf>
    <xf numFmtId="0" fontId="0" fillId="23" borderId="108" xfId="0" applyFill="1" applyBorder="1" applyAlignment="1">
      <alignment horizontal="center" vertical="center" wrapText="1"/>
    </xf>
    <xf numFmtId="0" fontId="0" fillId="3" borderId="90" xfId="0" applyFont="1" applyFill="1" applyBorder="1" applyAlignment="1">
      <alignment horizontal="center" vertical="center" wrapText="1"/>
    </xf>
    <xf numFmtId="0" fontId="12" fillId="3" borderId="0" xfId="0" applyFont="1" applyFill="1" applyAlignment="1">
      <alignment horizontal="center" vertical="center" wrapText="1"/>
    </xf>
    <xf numFmtId="0" fontId="0" fillId="3" borderId="88" xfId="0" applyFont="1" applyFill="1" applyBorder="1" applyAlignment="1">
      <alignment horizontal="center" vertical="center" wrapText="1"/>
    </xf>
    <xf numFmtId="0" fontId="0" fillId="3" borderId="94" xfId="0" applyFont="1" applyFill="1" applyBorder="1" applyAlignment="1">
      <alignment horizontal="center" vertical="center" wrapText="1"/>
    </xf>
    <xf numFmtId="0" fontId="1" fillId="3" borderId="98" xfId="0" applyFont="1" applyFill="1" applyBorder="1" applyAlignment="1">
      <alignment horizontal="center" vertical="center" wrapText="1"/>
    </xf>
    <xf numFmtId="0" fontId="1" fillId="3" borderId="92" xfId="0" applyFont="1" applyFill="1" applyBorder="1" applyAlignment="1">
      <alignment horizontal="center" vertical="center" wrapText="1"/>
    </xf>
    <xf numFmtId="0" fontId="17" fillId="3" borderId="93" xfId="0" applyFont="1" applyFill="1" applyBorder="1" applyAlignment="1">
      <alignment horizontal="center" vertical="center" wrapText="1"/>
    </xf>
    <xf numFmtId="0" fontId="0" fillId="3" borderId="87" xfId="0" applyFont="1" applyFill="1" applyBorder="1" applyAlignment="1">
      <alignment horizontal="center" vertical="center" wrapText="1"/>
    </xf>
    <xf numFmtId="0" fontId="0" fillId="3" borderId="93" xfId="0" applyFont="1" applyFill="1" applyBorder="1" applyAlignment="1">
      <alignment horizontal="center" vertical="center" wrapText="1"/>
    </xf>
    <xf numFmtId="0" fontId="1" fillId="3" borderId="86" xfId="0" applyFont="1" applyFill="1" applyBorder="1" applyAlignment="1">
      <alignment horizontal="center" vertical="center" wrapText="1"/>
    </xf>
    <xf numFmtId="0" fontId="1" fillId="3" borderId="89" xfId="0" applyFont="1" applyFill="1" applyBorder="1" applyAlignment="1">
      <alignment horizontal="center" vertical="center" wrapText="1"/>
    </xf>
    <xf numFmtId="0" fontId="1" fillId="3" borderId="95" xfId="0" applyFont="1" applyFill="1" applyBorder="1" applyAlignment="1">
      <alignment horizontal="center" vertical="center" wrapText="1"/>
    </xf>
    <xf numFmtId="0" fontId="0" fillId="3" borderId="91" xfId="0" applyFill="1" applyBorder="1" applyAlignment="1">
      <alignment horizontal="center" vertical="center" wrapText="1"/>
    </xf>
    <xf numFmtId="0" fontId="0" fillId="3" borderId="97" xfId="0"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7" fillId="3" borderId="1" xfId="0" applyFont="1" applyFill="1" applyBorder="1" applyAlignment="1">
      <alignment horizontal="center" vertical="center"/>
    </xf>
    <xf numFmtId="0" fontId="33" fillId="3" borderId="32" xfId="0" applyFont="1" applyFill="1" applyBorder="1" applyAlignment="1">
      <alignment horizontal="center" vertical="center" wrapText="1"/>
    </xf>
    <xf numFmtId="0" fontId="32" fillId="4" borderId="67" xfId="0" applyFont="1" applyFill="1" applyBorder="1" applyAlignment="1">
      <alignment horizontal="center" vertical="center" wrapText="1"/>
    </xf>
    <xf numFmtId="0" fontId="32" fillId="4" borderId="68" xfId="0" applyFont="1" applyFill="1" applyBorder="1" applyAlignment="1">
      <alignment horizontal="center" vertical="center" wrapText="1"/>
    </xf>
    <xf numFmtId="0" fontId="32" fillId="4" borderId="57" xfId="0" applyFont="1" applyFill="1" applyBorder="1" applyAlignment="1">
      <alignment horizontal="center" vertical="center" wrapText="1"/>
    </xf>
    <xf numFmtId="0" fontId="9" fillId="5" borderId="27" xfId="0" applyFont="1" applyFill="1" applyBorder="1" applyAlignment="1">
      <alignment horizontal="center" vertical="center"/>
    </xf>
    <xf numFmtId="168" fontId="7" fillId="2" borderId="40" xfId="0" quotePrefix="1" applyNumberFormat="1" applyFont="1" applyFill="1" applyBorder="1" applyAlignment="1">
      <alignment horizontal="center" vertical="center" wrapText="1"/>
    </xf>
    <xf numFmtId="0" fontId="32" fillId="4" borderId="56" xfId="0" applyFont="1" applyFill="1" applyBorder="1" applyAlignment="1">
      <alignment horizontal="center" vertical="center" wrapText="1"/>
    </xf>
    <xf numFmtId="0" fontId="9" fillId="5" borderId="65"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0" fillId="23" borderId="90" xfId="0" applyFont="1" applyFill="1" applyBorder="1" applyAlignment="1">
      <alignment horizontal="center" vertical="center" wrapText="1"/>
    </xf>
    <xf numFmtId="0" fontId="0" fillId="23" borderId="93" xfId="0" applyFont="1" applyFill="1" applyBorder="1" applyAlignment="1">
      <alignment horizontal="center" vertical="center" wrapText="1"/>
    </xf>
    <xf numFmtId="0" fontId="0" fillId="23" borderId="91" xfId="0" applyFont="1" applyFill="1" applyBorder="1" applyAlignment="1">
      <alignment horizontal="center" vertical="center" wrapText="1"/>
    </xf>
    <xf numFmtId="0" fontId="0" fillId="23" borderId="94"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48" fillId="22" borderId="0" xfId="0" applyFont="1" applyFill="1" applyAlignment="1">
      <alignment horizontal="center" vertical="center" wrapText="1"/>
    </xf>
    <xf numFmtId="0" fontId="0" fillId="23" borderId="91" xfId="0" applyFill="1" applyBorder="1" applyAlignment="1">
      <alignment horizontal="center" vertical="center" wrapText="1"/>
    </xf>
    <xf numFmtId="0" fontId="0" fillId="23" borderId="94" xfId="0" applyFill="1" applyBorder="1" applyAlignment="1">
      <alignment horizontal="center" vertical="center" wrapText="1"/>
    </xf>
    <xf numFmtId="0" fontId="0" fillId="3" borderId="8" xfId="0" applyFill="1" applyBorder="1" applyAlignment="1">
      <alignment horizontal="center"/>
    </xf>
    <xf numFmtId="0" fontId="1" fillId="3" borderId="11" xfId="0" applyFont="1" applyFill="1" applyBorder="1" applyAlignment="1">
      <alignment horizontal="left" vertical="center"/>
    </xf>
    <xf numFmtId="0" fontId="1" fillId="3" borderId="5" xfId="0" applyFont="1" applyFill="1" applyBorder="1" applyAlignment="1">
      <alignment horizontal="left" vertical="center"/>
    </xf>
    <xf numFmtId="0" fontId="1" fillId="3" borderId="13" xfId="0" applyFont="1" applyFill="1" applyBorder="1" applyAlignment="1">
      <alignment horizontal="left" vertical="center"/>
    </xf>
    <xf numFmtId="0" fontId="17" fillId="3" borderId="33" xfId="0" applyFont="1" applyFill="1" applyBorder="1" applyAlignment="1">
      <alignment horizontal="center" vertical="center"/>
    </xf>
    <xf numFmtId="0" fontId="17" fillId="3" borderId="34" xfId="0" applyFont="1" applyFill="1" applyBorder="1" applyAlignment="1">
      <alignment horizontal="center" vertical="center"/>
    </xf>
    <xf numFmtId="0" fontId="17" fillId="3" borderId="3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4"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14" xfId="0" applyFont="1" applyFill="1" applyBorder="1" applyAlignment="1">
      <alignment horizontal="center"/>
    </xf>
    <xf numFmtId="0" fontId="1" fillId="10" borderId="3" xfId="0" applyFont="1" applyFill="1" applyBorder="1" applyAlignment="1">
      <alignment horizontal="center" wrapText="1"/>
    </xf>
    <xf numFmtId="0" fontId="1" fillId="10" borderId="4" xfId="0" applyFont="1" applyFill="1" applyBorder="1" applyAlignment="1">
      <alignment horizontal="center" wrapText="1"/>
    </xf>
    <xf numFmtId="165" fontId="0" fillId="3" borderId="1" xfId="0" applyNumberFormat="1" applyFill="1" applyBorder="1" applyAlignment="1">
      <alignment horizontal="left" vertical="top"/>
    </xf>
    <xf numFmtId="0" fontId="17" fillId="3" borderId="12"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 fillId="12" borderId="19" xfId="0" applyFont="1" applyFill="1" applyBorder="1" applyAlignment="1">
      <alignment horizontal="center"/>
    </xf>
    <xf numFmtId="0" fontId="1" fillId="12" borderId="55" xfId="0" applyFont="1" applyFill="1" applyBorder="1" applyAlignment="1">
      <alignment horizontal="center"/>
    </xf>
    <xf numFmtId="0" fontId="1" fillId="12" borderId="50" xfId="0" applyFont="1" applyFill="1" applyBorder="1" applyAlignment="1">
      <alignment horizontal="center"/>
    </xf>
    <xf numFmtId="0" fontId="3" fillId="12" borderId="3"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71" xfId="0" applyFont="1" applyFill="1" applyBorder="1" applyAlignment="1">
      <alignment horizontal="center" vertical="center" wrapText="1"/>
    </xf>
    <xf numFmtId="0" fontId="3" fillId="12" borderId="72" xfId="0" applyFont="1" applyFill="1" applyBorder="1" applyAlignment="1">
      <alignment horizontal="center" vertical="center" wrapText="1"/>
    </xf>
    <xf numFmtId="0" fontId="1" fillId="14" borderId="36" xfId="0" applyFont="1" applyFill="1" applyBorder="1" applyAlignment="1">
      <alignment horizontal="center" vertical="center" wrapText="1"/>
    </xf>
    <xf numFmtId="0" fontId="1" fillId="14" borderId="27" xfId="0" applyFont="1" applyFill="1" applyBorder="1" applyAlignment="1">
      <alignment horizontal="center" vertical="center" wrapText="1"/>
    </xf>
    <xf numFmtId="0" fontId="1" fillId="14" borderId="4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39" fillId="14" borderId="26" xfId="0" applyFont="1" applyFill="1" applyBorder="1" applyAlignment="1">
      <alignment horizontal="center" vertical="center" wrapText="1"/>
    </xf>
    <xf numFmtId="0" fontId="39" fillId="14" borderId="27" xfId="0" applyFont="1" applyFill="1" applyBorder="1" applyAlignment="1">
      <alignment horizontal="center" vertical="center" wrapText="1"/>
    </xf>
    <xf numFmtId="0" fontId="1" fillId="17" borderId="32" xfId="0" applyFont="1" applyFill="1" applyBorder="1" applyAlignment="1">
      <alignment horizontal="center"/>
    </xf>
    <xf numFmtId="0" fontId="1" fillId="17" borderId="73" xfId="0" applyFont="1" applyFill="1" applyBorder="1" applyAlignment="1">
      <alignment horizontal="center"/>
    </xf>
    <xf numFmtId="0" fontId="1" fillId="17" borderId="56" xfId="0" applyFont="1" applyFill="1" applyBorder="1" applyAlignment="1">
      <alignment horizontal="center" wrapText="1"/>
    </xf>
    <xf numFmtId="0" fontId="1" fillId="17" borderId="68" xfId="0" applyFont="1" applyFill="1" applyBorder="1" applyAlignment="1">
      <alignment horizontal="center" wrapText="1"/>
    </xf>
    <xf numFmtId="0" fontId="1" fillId="17" borderId="57" xfId="0" applyFont="1" applyFill="1" applyBorder="1" applyAlignment="1">
      <alignment horizontal="center" wrapText="1"/>
    </xf>
    <xf numFmtId="0" fontId="1" fillId="14" borderId="10" xfId="0" applyFont="1" applyFill="1" applyBorder="1" applyAlignment="1">
      <alignment horizontal="center"/>
    </xf>
    <xf numFmtId="0" fontId="1" fillId="14" borderId="55" xfId="0" applyFont="1" applyFill="1" applyBorder="1" applyAlignment="1">
      <alignment horizontal="center"/>
    </xf>
    <xf numFmtId="0" fontId="39" fillId="14" borderId="1" xfId="0" applyFont="1" applyFill="1" applyBorder="1" applyAlignment="1">
      <alignment horizontal="center" vertical="center" wrapText="1"/>
    </xf>
    <xf numFmtId="0" fontId="39" fillId="14" borderId="17" xfId="0" applyFont="1" applyFill="1" applyBorder="1" applyAlignment="1">
      <alignment horizontal="center" vertical="center" wrapText="1"/>
    </xf>
    <xf numFmtId="0" fontId="39" fillId="14" borderId="2" xfId="0" applyFont="1" applyFill="1" applyBorder="1" applyAlignment="1">
      <alignment horizontal="center" vertical="center" wrapText="1"/>
    </xf>
    <xf numFmtId="0" fontId="39" fillId="14" borderId="5" xfId="0" applyFont="1" applyFill="1" applyBorder="1" applyAlignment="1">
      <alignment horizontal="center" vertical="center" wrapText="1"/>
    </xf>
    <xf numFmtId="0" fontId="39" fillId="14" borderId="45" xfId="0" applyFont="1" applyFill="1" applyBorder="1" applyAlignment="1">
      <alignment horizontal="center" vertical="center" wrapText="1"/>
    </xf>
    <xf numFmtId="0" fontId="39" fillId="14" borderId="42" xfId="0" applyFont="1" applyFill="1" applyBorder="1" applyAlignment="1">
      <alignment horizontal="center" vertical="center" wrapText="1"/>
    </xf>
    <xf numFmtId="0" fontId="39" fillId="14" borderId="39" xfId="0" applyFont="1" applyFill="1" applyBorder="1" applyAlignment="1">
      <alignment horizontal="center" vertical="center" wrapText="1"/>
    </xf>
    <xf numFmtId="0" fontId="39" fillId="14" borderId="48" xfId="0" applyFont="1" applyFill="1" applyBorder="1" applyAlignment="1">
      <alignment horizontal="center" vertical="center" wrapText="1"/>
    </xf>
    <xf numFmtId="0" fontId="39" fillId="14" borderId="44" xfId="0" applyFont="1" applyFill="1" applyBorder="1" applyAlignment="1">
      <alignment horizontal="center" vertical="center" wrapText="1"/>
    </xf>
    <xf numFmtId="0" fontId="1" fillId="11" borderId="54" xfId="0" applyFont="1" applyFill="1" applyBorder="1" applyAlignment="1">
      <alignment horizontal="center" vertical="center" wrapText="1"/>
    </xf>
    <xf numFmtId="0" fontId="1" fillId="11" borderId="63" xfId="0" applyFont="1" applyFill="1" applyBorder="1" applyAlignment="1">
      <alignment horizontal="center" vertical="center" wrapText="1"/>
    </xf>
    <xf numFmtId="0" fontId="1" fillId="11" borderId="58"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65" xfId="0" applyFont="1" applyFill="1" applyBorder="1" applyAlignment="1">
      <alignment horizontal="center" vertical="center" wrapText="1"/>
    </xf>
    <xf numFmtId="0" fontId="9" fillId="14" borderId="60" xfId="0" applyFont="1" applyFill="1" applyBorder="1" applyAlignment="1">
      <alignment horizontal="center" vertical="center" wrapText="1"/>
    </xf>
    <xf numFmtId="0" fontId="9" fillId="14" borderId="102" xfId="0" applyFont="1" applyFill="1" applyBorder="1" applyAlignment="1">
      <alignment horizontal="center" vertical="center" wrapText="1"/>
    </xf>
    <xf numFmtId="0" fontId="9" fillId="19" borderId="60" xfId="0" applyFont="1" applyFill="1" applyBorder="1" applyAlignment="1">
      <alignment horizontal="center" vertical="center" wrapText="1"/>
    </xf>
    <xf numFmtId="0" fontId="9" fillId="19" borderId="102" xfId="0" applyFont="1" applyFill="1" applyBorder="1" applyAlignment="1">
      <alignment horizontal="center" vertical="center" wrapText="1"/>
    </xf>
    <xf numFmtId="0" fontId="9" fillId="19" borderId="19" xfId="0" applyFont="1" applyFill="1" applyBorder="1" applyAlignment="1">
      <alignment horizontal="center" vertical="center" wrapText="1"/>
    </xf>
    <xf numFmtId="0" fontId="9" fillId="19" borderId="65" xfId="0" applyFont="1" applyFill="1" applyBorder="1" applyAlignment="1">
      <alignment horizontal="center" vertical="center" wrapText="1"/>
    </xf>
    <xf numFmtId="0" fontId="48" fillId="22" borderId="0" xfId="0" applyFont="1" applyFill="1" applyAlignment="1">
      <alignment horizontal="center" wrapText="1"/>
    </xf>
    <xf numFmtId="0" fontId="8" fillId="19" borderId="101" xfId="0" applyFont="1" applyFill="1" applyBorder="1" applyAlignment="1">
      <alignment horizontal="center" vertical="center" wrapText="1"/>
    </xf>
    <xf numFmtId="0" fontId="8" fillId="19" borderId="69" xfId="0" applyFont="1" applyFill="1" applyBorder="1" applyAlignment="1">
      <alignment horizontal="center" vertical="center" wrapText="1"/>
    </xf>
    <xf numFmtId="0" fontId="8" fillId="19" borderId="6"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0" fillId="3" borderId="0" xfId="0" applyFill="1" applyAlignment="1">
      <alignment horizontal="left" wrapText="1"/>
    </xf>
    <xf numFmtId="0" fontId="0" fillId="3" borderId="64" xfId="0" applyFill="1" applyBorder="1" applyAlignment="1">
      <alignment horizontal="left" vertical="top" wrapText="1"/>
    </xf>
    <xf numFmtId="0" fontId="0" fillId="3" borderId="0" xfId="0" applyFill="1" applyBorder="1" applyAlignment="1">
      <alignment horizontal="left" vertical="top" wrapText="1"/>
    </xf>
    <xf numFmtId="0" fontId="9" fillId="2" borderId="24" xfId="0" applyFont="1" applyFill="1" applyBorder="1" applyAlignment="1" applyProtection="1">
      <alignment vertical="center" wrapText="1"/>
      <protection locked="0"/>
    </xf>
  </cellXfs>
  <cellStyles count="4">
    <cellStyle name="Hyperlink" xfId="3" builtinId="8"/>
    <cellStyle name="Normal" xfId="0" builtinId="0"/>
    <cellStyle name="Normal 2" xfId="2" xr:uid="{00000000-0005-0000-0000-000001000000}"/>
    <cellStyle name="Percent" xfId="1" builtinId="5"/>
  </cellStyles>
  <dxfs count="362">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2" formatCode="0.00"/>
    </dxf>
    <dxf>
      <numFmt numFmtId="15" formatCode="0.00E+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15" formatCode="0.00E+00"/>
    </dxf>
    <dxf>
      <numFmt numFmtId="2" formatCode="0.00"/>
    </dxf>
    <dxf>
      <numFmt numFmtId="2" formatCode="0.00"/>
    </dxf>
    <dxf>
      <numFmt numFmtId="15" formatCode="0.00E+00"/>
    </dxf>
    <dxf>
      <numFmt numFmtId="2" formatCode="0.00"/>
    </dxf>
    <dxf>
      <numFmt numFmtId="15" formatCode="0.00E+00"/>
    </dxf>
    <dxf>
      <font>
        <color rgb="FF006C31"/>
      </font>
      <fill>
        <patternFill>
          <bgColor rgb="FFB7F3CF"/>
        </patternFill>
      </fill>
    </dxf>
    <dxf>
      <font>
        <b/>
        <i val="0"/>
        <color rgb="FFC00000"/>
      </font>
      <fill>
        <patternFill>
          <bgColor theme="5" tint="0.59996337778862885"/>
        </patternFill>
      </fill>
    </dxf>
    <dxf>
      <fill>
        <patternFill>
          <bgColor theme="0"/>
        </patternFill>
      </fill>
    </dxf>
    <dxf>
      <numFmt numFmtId="171" formatCode="#,##0.0"/>
    </dxf>
    <dxf>
      <numFmt numFmtId="166" formatCode="0.0E+00"/>
    </dxf>
    <dxf>
      <numFmt numFmtId="2" formatCode="0.00"/>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font>
        <color rgb="FF006C31"/>
      </font>
      <fill>
        <patternFill>
          <bgColor rgb="FFB7F3CF"/>
        </patternFill>
      </fill>
    </dxf>
    <dxf>
      <font>
        <b/>
        <i val="0"/>
        <color rgb="FFC00000"/>
      </font>
      <fill>
        <patternFill>
          <bgColor theme="5" tint="0.59996337778862885"/>
        </patternFill>
      </fill>
    </dxf>
    <dxf>
      <font>
        <b val="0"/>
        <i val="0"/>
        <color rgb="FF006C31"/>
      </font>
      <fill>
        <patternFill>
          <bgColor rgb="FFB7F3CF"/>
        </patternFill>
      </fill>
    </dxf>
    <dxf>
      <font>
        <b/>
        <i val="0"/>
        <color rgb="FFC00000"/>
      </font>
      <fill>
        <patternFill>
          <bgColor theme="5" tint="0.59996337778862885"/>
        </patternFill>
      </fill>
    </dxf>
    <dxf>
      <numFmt numFmtId="171" formatCode="#,##0.0"/>
    </dxf>
    <dxf>
      <numFmt numFmtId="166" formatCode="0.0E+00"/>
    </dxf>
    <dxf>
      <numFmt numFmtId="2" formatCode="0.00"/>
    </dxf>
    <dxf>
      <font>
        <color rgb="FF006C31"/>
      </font>
      <fill>
        <patternFill>
          <bgColor rgb="FFB7F3CF"/>
        </patternFill>
      </fill>
    </dxf>
    <dxf>
      <font>
        <b/>
        <i val="0"/>
        <color rgb="FFC00000"/>
      </font>
      <fill>
        <patternFill>
          <bgColor theme="5" tint="0.59996337778862885"/>
        </patternFill>
      </fill>
    </dxf>
    <dxf>
      <fill>
        <patternFill>
          <bgColor theme="0"/>
        </patternFill>
      </fill>
    </dxf>
    <dxf>
      <font>
        <b val="0"/>
        <i val="0"/>
        <color rgb="FF006C31"/>
      </font>
      <fill>
        <patternFill>
          <bgColor rgb="FFB7F3CF"/>
        </patternFill>
      </fill>
    </dxf>
    <dxf>
      <font>
        <b/>
        <i val="0"/>
        <color rgb="FFC00000"/>
      </font>
      <fill>
        <patternFill>
          <bgColor theme="5" tint="0.59996337778862885"/>
        </patternFill>
      </fill>
    </dxf>
    <dxf>
      <fill>
        <patternFill>
          <bgColor theme="0"/>
        </patternFill>
      </fill>
    </dxf>
    <dxf>
      <numFmt numFmtId="171" formatCode="#,##0.0"/>
    </dxf>
    <dxf>
      <numFmt numFmtId="166" formatCode="0.0E+00"/>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fill>
        <patternFill>
          <bgColor theme="0"/>
        </patternFill>
      </fill>
    </dxf>
    <dxf>
      <numFmt numFmtId="2" formatCode="0.00"/>
    </dxf>
    <dxf>
      <numFmt numFmtId="171" formatCode="#,##0.0"/>
    </dxf>
    <dxf>
      <numFmt numFmtId="166" formatCode="0.0E+00"/>
    </dxf>
    <dxf>
      <fill>
        <patternFill>
          <bgColor theme="0"/>
        </patternFill>
      </fill>
    </dxf>
    <dxf>
      <numFmt numFmtId="171" formatCode="#,##0.0"/>
    </dxf>
    <dxf>
      <numFmt numFmtId="166" formatCode="0.0E+00"/>
    </dxf>
    <dxf>
      <fill>
        <patternFill>
          <bgColor theme="0"/>
        </patternFill>
      </fill>
    </dxf>
    <dxf>
      <numFmt numFmtId="2" formatCode="0.00"/>
    </dxf>
    <dxf>
      <numFmt numFmtId="2" formatCode="0.00"/>
    </dxf>
    <dxf>
      <numFmt numFmtId="171" formatCode="#,##0.0"/>
    </dxf>
    <dxf>
      <numFmt numFmtId="166" formatCode="0.0E+00"/>
    </dxf>
    <dxf>
      <fill>
        <patternFill>
          <bgColor theme="0"/>
        </patternFill>
      </fill>
    </dxf>
    <dxf>
      <numFmt numFmtId="171" formatCode="#,##0.0"/>
    </dxf>
    <dxf>
      <numFmt numFmtId="166" formatCode="0.0E+00"/>
    </dxf>
    <dxf>
      <fill>
        <patternFill>
          <bgColor theme="0"/>
        </patternFill>
      </fill>
    </dxf>
    <dxf>
      <numFmt numFmtId="2" formatCode="0.00"/>
    </dxf>
    <dxf>
      <numFmt numFmtId="164" formatCode="0.0"/>
    </dxf>
    <dxf>
      <numFmt numFmtId="166" formatCode="0.0E+00"/>
    </dxf>
    <dxf>
      <numFmt numFmtId="2" formatCode="0.00"/>
    </dxf>
    <dxf>
      <font>
        <b/>
        <i val="0"/>
        <color rgb="FFC00000"/>
      </font>
      <fill>
        <patternFill>
          <bgColor theme="5" tint="0.59996337778862885"/>
        </patternFill>
      </fill>
    </dxf>
    <dxf>
      <font>
        <color rgb="FF006C31"/>
      </font>
      <fill>
        <patternFill patternType="solid">
          <fgColor auto="1"/>
          <bgColor rgb="FFB7F3CF"/>
        </patternFill>
      </fill>
    </dxf>
    <dxf>
      <font>
        <b val="0"/>
        <i val="0"/>
        <color rgb="FF006C31"/>
      </font>
      <fill>
        <patternFill>
          <bgColor rgb="FFB7F3CF"/>
        </patternFill>
      </fill>
    </dxf>
    <dxf>
      <font>
        <b/>
        <i val="0"/>
        <color rgb="FFC00000"/>
      </font>
      <fill>
        <patternFill>
          <bgColor theme="5" tint="0.59996337778862885"/>
        </patternFill>
      </fill>
    </dxf>
    <dxf>
      <numFmt numFmtId="171" formatCode="#,##0.0"/>
    </dxf>
    <dxf>
      <numFmt numFmtId="166" formatCode="0.0E+00"/>
    </dxf>
    <dxf>
      <numFmt numFmtId="2" formatCode="0.00"/>
    </dxf>
    <dxf>
      <fill>
        <patternFill>
          <bgColor theme="0"/>
        </patternFill>
      </fill>
    </dxf>
    <dxf>
      <font>
        <color rgb="FF006C31"/>
      </font>
      <fill>
        <patternFill>
          <bgColor rgb="FFB7F3CF"/>
        </patternFill>
      </fill>
    </dxf>
    <dxf>
      <font>
        <b/>
        <i val="0"/>
        <color rgb="FFC00000"/>
      </font>
      <fill>
        <patternFill>
          <bgColor theme="5" tint="0.59996337778862885"/>
        </patternFill>
      </fill>
    </dxf>
    <dxf>
      <font>
        <b val="0"/>
        <i val="0"/>
        <color rgb="FF006C31"/>
      </font>
      <fill>
        <patternFill>
          <bgColor rgb="FFB7F3CF"/>
        </patternFill>
      </fill>
    </dxf>
    <dxf>
      <font>
        <b/>
        <i val="0"/>
        <color rgb="FFC00000"/>
      </font>
      <fill>
        <patternFill>
          <bgColor theme="5" tint="0.59996337778862885"/>
        </patternFill>
      </fill>
    </dxf>
    <dxf>
      <numFmt numFmtId="171" formatCode="#,##0.0"/>
    </dxf>
    <dxf>
      <numFmt numFmtId="166" formatCode="0.0E+00"/>
    </dxf>
    <dxf>
      <numFmt numFmtId="2" formatCode="0.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font>
        <b/>
        <i val="0"/>
        <color rgb="FFC00000"/>
      </font>
      <fill>
        <patternFill>
          <bgColor theme="5" tint="0.59996337778862885"/>
        </patternFill>
      </fill>
    </dxf>
    <dxf>
      <font>
        <color rgb="FF006C31"/>
      </font>
      <fill>
        <patternFill patternType="solid">
          <fgColor auto="1"/>
          <bgColor rgb="FFB7F3CF"/>
        </patternFill>
      </fill>
    </dxf>
    <dxf>
      <fill>
        <patternFill>
          <bgColor theme="0"/>
        </patternFill>
      </fill>
    </dxf>
    <dxf>
      <font>
        <b/>
        <i val="0"/>
        <color rgb="FFC00000"/>
      </font>
      <fill>
        <patternFill>
          <bgColor theme="5" tint="0.59996337778862885"/>
        </patternFill>
      </fill>
    </dxf>
    <dxf>
      <font>
        <color rgb="FF006C31"/>
      </font>
      <fill>
        <patternFill patternType="solid">
          <fgColor auto="1"/>
          <bgColor rgb="FFB7F3CF"/>
        </patternFill>
      </fill>
    </dxf>
    <dxf>
      <font>
        <b val="0"/>
        <i val="0"/>
        <color rgb="FF006C31"/>
      </font>
      <fill>
        <patternFill>
          <bgColor rgb="FFB7F3CF"/>
        </patternFill>
      </fill>
    </dxf>
    <dxf>
      <font>
        <b/>
        <i val="0"/>
        <color rgb="FFC00000"/>
      </font>
      <fill>
        <patternFill>
          <bgColor theme="5" tint="0.59996337778862885"/>
        </patternFill>
      </fill>
    </dxf>
    <dxf>
      <fill>
        <patternFill>
          <bgColor theme="0"/>
        </patternFill>
      </fill>
    </dxf>
    <dxf>
      <numFmt numFmtId="171" formatCode="#,##0.0"/>
    </dxf>
    <dxf>
      <numFmt numFmtId="166" formatCode="0.0E+00"/>
    </dxf>
    <dxf>
      <numFmt numFmtId="2" formatCode="0.00"/>
    </dxf>
    <dxf>
      <font>
        <color rgb="FF006C31"/>
      </font>
      <fill>
        <patternFill>
          <bgColor rgb="FFB7F3CF"/>
        </patternFill>
      </fill>
    </dxf>
    <dxf>
      <font>
        <b/>
        <i val="0"/>
        <color rgb="FFC00000"/>
      </font>
      <fill>
        <patternFill>
          <bgColor theme="5" tint="0.59996337778862885"/>
        </patternFill>
      </fill>
    </dxf>
    <dxf>
      <fill>
        <patternFill>
          <bgColor theme="0"/>
        </patternFill>
      </fill>
    </dxf>
    <dxf>
      <numFmt numFmtId="171" formatCode="#,##0.0"/>
    </dxf>
    <dxf>
      <numFmt numFmtId="166" formatCode="0.0E+00"/>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2" formatCode="0.00"/>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171" formatCode="#,##0.0"/>
    </dxf>
    <dxf>
      <numFmt numFmtId="166" formatCode="0.0E+00"/>
    </dxf>
    <dxf>
      <fill>
        <patternFill>
          <bgColor theme="0"/>
        </patternFill>
      </fill>
    </dxf>
    <dxf>
      <numFmt numFmtId="2" formatCode="0.00"/>
    </dxf>
    <dxf>
      <numFmt numFmtId="164" formatCode="0.0"/>
    </dxf>
    <dxf>
      <numFmt numFmtId="166" formatCode="0.0E+00"/>
    </dxf>
    <dxf>
      <numFmt numFmtId="2" formatCode="0.00"/>
    </dxf>
    <dxf>
      <font>
        <b/>
        <i val="0"/>
        <color rgb="FFC00000"/>
      </font>
      <fill>
        <patternFill>
          <bgColor theme="5" tint="0.59996337778862885"/>
        </patternFill>
      </fill>
    </dxf>
    <dxf>
      <font>
        <color rgb="FF006C31"/>
      </font>
      <fill>
        <patternFill patternType="solid">
          <fgColor auto="1"/>
          <bgColor rgb="FFB7F3CF"/>
        </patternFill>
      </fill>
    </dxf>
    <dxf>
      <font>
        <color rgb="FF006C31"/>
      </font>
      <fill>
        <patternFill>
          <bgColor rgb="FFB7F3CF"/>
        </patternFill>
      </fill>
    </dxf>
    <dxf>
      <font>
        <b/>
        <i val="0"/>
        <color rgb="FFC00000"/>
      </font>
      <fill>
        <patternFill>
          <bgColor theme="5" tint="0.59996337778862885"/>
        </patternFill>
      </fill>
    </dxf>
    <dxf>
      <fill>
        <patternFill>
          <bgColor theme="0"/>
        </patternFill>
      </fill>
    </dxf>
    <dxf>
      <font>
        <b val="0"/>
        <i val="0"/>
        <color rgb="FF006C31"/>
      </font>
      <fill>
        <patternFill>
          <bgColor rgb="FFB7F3CF"/>
        </patternFill>
      </fill>
    </dxf>
    <dxf>
      <font>
        <b/>
        <i val="0"/>
        <color rgb="FFC00000"/>
      </font>
      <fill>
        <patternFill>
          <bgColor theme="5" tint="0.59996337778862885"/>
        </patternFill>
      </fill>
    </dxf>
    <dxf>
      <fill>
        <patternFill>
          <bgColor theme="0"/>
        </patternFill>
      </fill>
    </dxf>
    <dxf>
      <fill>
        <patternFill>
          <bgColor theme="0"/>
        </patternFill>
      </fill>
    </dxf>
    <dxf>
      <numFmt numFmtId="171" formatCode="#,##0.0"/>
    </dxf>
    <dxf>
      <numFmt numFmtId="166" formatCode="0.0E+00"/>
    </dxf>
    <dxf>
      <numFmt numFmtId="2" formatCode="0.00"/>
    </dxf>
    <dxf>
      <font>
        <b val="0"/>
        <i val="0"/>
        <color rgb="FF006C31"/>
      </font>
      <fill>
        <gradientFill degree="90">
          <stop position="0">
            <color rgb="FFB7F3CF"/>
          </stop>
          <stop position="1">
            <color rgb="FFB7F3CF"/>
          </stop>
        </gradientFill>
      </fill>
    </dxf>
    <dxf>
      <font>
        <b/>
        <i val="0"/>
        <color rgb="FFC00000"/>
      </font>
      <fill>
        <patternFill>
          <bgColor theme="5" tint="0.59996337778862885"/>
        </patternFill>
      </fill>
    </dxf>
    <dxf>
      <numFmt numFmtId="171" formatCode="#,##0.0"/>
    </dxf>
    <dxf>
      <numFmt numFmtId="166" formatCode="0.0E+00"/>
    </dxf>
    <dxf>
      <numFmt numFmtId="2" formatCode="0.00"/>
    </dxf>
    <dxf>
      <fill>
        <patternFill>
          <bgColor theme="0"/>
        </patternFill>
      </fill>
    </dxf>
    <dxf>
      <numFmt numFmtId="171" formatCode="#,##0.0"/>
    </dxf>
    <dxf>
      <numFmt numFmtId="166" formatCode="0.0E+00"/>
    </dxf>
    <dxf>
      <numFmt numFmtId="2" formatCode="0.00"/>
    </dxf>
    <dxf>
      <fill>
        <patternFill>
          <bgColor theme="0"/>
        </patternFill>
      </fill>
    </dxf>
    <dxf>
      <font>
        <b val="0"/>
        <i val="0"/>
        <color rgb="FF006C31"/>
      </font>
      <fill>
        <gradientFill degree="90">
          <stop position="0">
            <color rgb="FFB7F3CF"/>
          </stop>
          <stop position="1">
            <color rgb="FFB7F3CF"/>
          </stop>
        </gradientFill>
      </fill>
    </dxf>
    <dxf>
      <font>
        <b/>
        <i val="0"/>
        <color rgb="FFC00000"/>
      </font>
      <fill>
        <patternFill>
          <bgColor theme="5" tint="0.59996337778862885"/>
        </patternFill>
      </fill>
    </dxf>
    <dxf>
      <numFmt numFmtId="171" formatCode="#,##0.0"/>
    </dxf>
    <dxf>
      <numFmt numFmtId="166" formatCode="0.0E+00"/>
    </dxf>
    <dxf>
      <numFmt numFmtId="2" formatCode="0.00"/>
    </dxf>
    <dxf>
      <fill>
        <patternFill>
          <bgColor theme="0"/>
        </patternFill>
      </fill>
    </dxf>
    <dxf>
      <numFmt numFmtId="171" formatCode="#,##0.0"/>
    </dxf>
    <dxf>
      <numFmt numFmtId="166" formatCode="0.0E+00"/>
    </dxf>
    <dxf>
      <fill>
        <patternFill>
          <bgColor theme="0"/>
        </patternFill>
      </fill>
    </dxf>
    <dxf>
      <numFmt numFmtId="2" formatCode="0.00"/>
    </dxf>
    <dxf>
      <numFmt numFmtId="2" formatCode="0.00"/>
    </dxf>
    <dxf>
      <numFmt numFmtId="171" formatCode="#,##0.0"/>
    </dxf>
    <dxf>
      <numFmt numFmtId="166" formatCode="0.0E+00"/>
    </dxf>
    <dxf>
      <fill>
        <patternFill>
          <bgColor theme="0"/>
        </patternFill>
      </fill>
    </dxf>
    <dxf>
      <numFmt numFmtId="171" formatCode="#,##0.0"/>
    </dxf>
    <dxf>
      <numFmt numFmtId="166" formatCode="0.0E+00"/>
    </dxf>
    <dxf>
      <fill>
        <patternFill>
          <bgColor theme="0"/>
        </patternFill>
      </fill>
    </dxf>
    <dxf>
      <numFmt numFmtId="2" formatCode="0.00"/>
    </dxf>
    <dxf>
      <numFmt numFmtId="2" formatCode="0.00"/>
    </dxf>
    <dxf>
      <numFmt numFmtId="171" formatCode="#,##0.0"/>
    </dxf>
    <dxf>
      <numFmt numFmtId="166" formatCode="0.0E+00"/>
    </dxf>
    <dxf>
      <fill>
        <patternFill>
          <bgColor theme="0"/>
        </patternFill>
      </fill>
    </dxf>
    <dxf>
      <numFmt numFmtId="171" formatCode="#,##0.0"/>
    </dxf>
    <dxf>
      <numFmt numFmtId="166" formatCode="0.0E+00"/>
    </dxf>
    <dxf>
      <fill>
        <patternFill>
          <bgColor theme="0"/>
        </patternFill>
      </fill>
    </dxf>
    <dxf>
      <numFmt numFmtId="2" formatCode="0.00"/>
    </dxf>
    <dxf>
      <numFmt numFmtId="2" formatCode="0.00"/>
    </dxf>
    <dxf>
      <numFmt numFmtId="171" formatCode="#,##0.0"/>
    </dxf>
    <dxf>
      <numFmt numFmtId="166" formatCode="0.0E+00"/>
    </dxf>
    <dxf>
      <fill>
        <patternFill>
          <bgColor theme="0"/>
        </patternFill>
      </fill>
    </dxf>
    <dxf>
      <numFmt numFmtId="2" formatCode="0.00"/>
    </dxf>
    <dxf>
      <numFmt numFmtId="171" formatCode="#,##0.0"/>
    </dxf>
    <dxf>
      <numFmt numFmtId="166" formatCode="0.0E+00"/>
    </dxf>
    <dxf>
      <fill>
        <patternFill>
          <bgColor theme="0"/>
        </patternFill>
      </fill>
    </dxf>
    <dxf>
      <numFmt numFmtId="171" formatCode="#,##0.0"/>
    </dxf>
    <dxf>
      <numFmt numFmtId="166" formatCode="0.0E+00"/>
    </dxf>
    <dxf>
      <fill>
        <patternFill>
          <bgColor theme="0"/>
        </patternFill>
      </fill>
    </dxf>
    <dxf>
      <numFmt numFmtId="2" formatCode="0.00"/>
    </dxf>
    <dxf>
      <numFmt numFmtId="2" formatCode="0.00"/>
    </dxf>
    <dxf>
      <numFmt numFmtId="171" formatCode="#,##0.0"/>
    </dxf>
    <dxf>
      <numFmt numFmtId="166" formatCode="0.0E+00"/>
    </dxf>
    <dxf>
      <fill>
        <patternFill>
          <bgColor theme="0"/>
        </patternFill>
      </fill>
    </dxf>
    <dxf>
      <numFmt numFmtId="171" formatCode="#,##0.0"/>
    </dxf>
    <dxf>
      <numFmt numFmtId="166" formatCode="0.0E+00"/>
    </dxf>
    <dxf>
      <fill>
        <patternFill>
          <bgColor theme="0"/>
        </patternFill>
      </fill>
    </dxf>
    <dxf>
      <numFmt numFmtId="2" formatCode="0.00"/>
    </dxf>
    <dxf>
      <numFmt numFmtId="2" formatCode="0.00"/>
    </dxf>
    <dxf>
      <font>
        <color rgb="FF006C31"/>
      </font>
      <fill>
        <gradientFill degree="90">
          <stop position="0">
            <color rgb="FFB7F3CF"/>
          </stop>
          <stop position="1">
            <color rgb="FFB7F3CF"/>
          </stop>
        </gradientFill>
      </fill>
    </dxf>
    <dxf>
      <font>
        <b/>
        <i val="0"/>
        <color rgb="FFC00000"/>
      </font>
      <fill>
        <patternFill>
          <bgColor theme="5" tint="0.59996337778862885"/>
        </patternFill>
      </fill>
    </dxf>
    <dxf>
      <font>
        <color rgb="FF006C31"/>
      </font>
      <fill>
        <gradientFill degree="90">
          <stop position="0">
            <color rgb="FFB7F3CF"/>
          </stop>
          <stop position="1">
            <color rgb="FFB7F3CF"/>
          </stop>
        </gradientFill>
      </fill>
    </dxf>
    <dxf>
      <font>
        <b/>
        <i val="0"/>
        <color rgb="FFC00000"/>
      </font>
      <fill>
        <patternFill>
          <bgColor theme="5" tint="0.59996337778862885"/>
        </patternFill>
      </fill>
    </dxf>
    <dxf>
      <font>
        <b val="0"/>
        <i val="0"/>
        <color rgb="FF006C31"/>
      </font>
      <fill>
        <gradientFill degree="90">
          <stop position="0">
            <color rgb="FFB7F3CF"/>
          </stop>
          <stop position="1">
            <color rgb="FFB7F3CF"/>
          </stop>
        </gradientFill>
      </fill>
    </dxf>
    <dxf>
      <font>
        <b/>
        <i val="0"/>
        <color rgb="FFC00000"/>
      </font>
      <fill>
        <patternFill>
          <bgColor theme="5" tint="0.59996337778862885"/>
        </patternFill>
      </fill>
    </dxf>
  </dxfs>
  <tableStyles count="0" defaultTableStyle="TableStyleMedium2" defaultPivotStyle="PivotStyleLight16"/>
  <colors>
    <mruColors>
      <color rgb="FFF3F39F"/>
      <color rgb="FFB7F3CF"/>
      <color rgb="FF006C31"/>
      <color rgb="FFFFFFCC"/>
      <color rgb="FFFF9900"/>
      <color rgb="FFC1FBCB"/>
      <color rgb="FFF15A2B"/>
      <color rgb="FFF04B18"/>
      <color rgb="FFD43D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Dashboard!$C$90</c:f>
          <c:strCache>
            <c:ptCount val="1"/>
            <c:pt idx="0">
              <c:v>Inhalation Cancer Risk Estimates</c:v>
            </c:pt>
          </c:strCache>
        </c:strRef>
      </c:tx>
      <c:layout>
        <c:manualLayout>
          <c:xMode val="edge"/>
          <c:yMode val="edge"/>
          <c:x val="0.35379421156466734"/>
          <c:y val="5.1188866307768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57646326211389221"/>
          <c:h val="0.58920985270720716"/>
        </c:manualLayout>
      </c:layout>
      <c:barChart>
        <c:barDir val="bar"/>
        <c:grouping val="stacked"/>
        <c:varyColors val="0"/>
        <c:ser>
          <c:idx val="4"/>
          <c:order val="0"/>
          <c:tx>
            <c:strRef>
              <c:f>Dashboard!$E$90</c:f>
              <c:strCache>
                <c:ptCount val="1"/>
                <c:pt idx="0">
                  <c:v>Cancer Risk with APF of 1000</c:v>
                </c:pt>
              </c:strCache>
            </c:strRef>
          </c:tx>
          <c:spPr>
            <a:solidFill>
              <a:schemeClr val="accent5"/>
            </a:solidFill>
            <a:ln>
              <a:noFill/>
            </a:ln>
            <a:effectLst/>
          </c:spPr>
          <c:invertIfNegative val="0"/>
          <c:cat>
            <c:strRef>
              <c:f>Dashboard!$C$91:$C$94</c:f>
              <c:strCache>
                <c:ptCount val="4"/>
                <c:pt idx="0">
                  <c:v>ONU: 50th Percentile</c:v>
                </c:pt>
                <c:pt idx="1">
                  <c:v>ONU: 95th Percentile</c:v>
                </c:pt>
                <c:pt idx="2">
                  <c:v>Worker: 50th Percentile</c:v>
                </c:pt>
                <c:pt idx="3">
                  <c:v>Worker: 95th Percentile</c:v>
                </c:pt>
              </c:strCache>
            </c:strRef>
          </c:cat>
          <c:val>
            <c:numRef>
              <c:f>Dashboard!$E$91:$E$94</c:f>
              <c:numCache>
                <c:formatCode>0.00E+00</c:formatCode>
                <c:ptCount val="4"/>
                <c:pt idx="0">
                  <c:v>9.3149349521191548E-7</c:v>
                </c:pt>
                <c:pt idx="1">
                  <c:v>3.5865676455014862E-6</c:v>
                </c:pt>
                <c:pt idx="2">
                  <c:v>1.8519958323732973E-6</c:v>
                </c:pt>
                <c:pt idx="3">
                  <c:v>5.7862409392873654E-6</c:v>
                </c:pt>
              </c:numCache>
            </c:numRef>
          </c:val>
          <c:extLst>
            <c:ext xmlns:c16="http://schemas.microsoft.com/office/drawing/2014/chart" uri="{C3380CC4-5D6E-409C-BE32-E72D297353CC}">
              <c16:uniqueId val="{00000008-6D0D-4AA3-910B-0012314B3634}"/>
            </c:ext>
          </c:extLst>
        </c:ser>
        <c:ser>
          <c:idx val="0"/>
          <c:order val="1"/>
          <c:tx>
            <c:strRef>
              <c:f>Dashboard!$D$90</c:f>
              <c:strCache>
                <c:ptCount val="1"/>
                <c:pt idx="0">
                  <c:v>Cancer Risk</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1-6A9D-47DB-A79F-FB92EECBB895}"/>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3-6A9D-47DB-A79F-FB92EECBB895}"/>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5-6A9D-47DB-A79F-FB92EECBB895}"/>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6A9D-47DB-A79F-FB92EECBB895}"/>
              </c:ext>
            </c:extLst>
          </c:dPt>
          <c:cat>
            <c:strRef>
              <c:f>Dashboard!$C$91:$C$94</c:f>
              <c:strCache>
                <c:ptCount val="4"/>
                <c:pt idx="0">
                  <c:v>ONU: 50th Percentile</c:v>
                </c:pt>
                <c:pt idx="1">
                  <c:v>ONU: 95th Percentile</c:v>
                </c:pt>
                <c:pt idx="2">
                  <c:v>Worker: 50th Percentile</c:v>
                </c:pt>
                <c:pt idx="3">
                  <c:v>Worker: 95th Percentile</c:v>
                </c:pt>
              </c:strCache>
            </c:strRef>
          </c:cat>
          <c:val>
            <c:numRef>
              <c:f>Dashboard!$D$91:$D$94</c:f>
              <c:numCache>
                <c:formatCode>0.00E+00</c:formatCode>
                <c:ptCount val="4"/>
                <c:pt idx="0">
                  <c:v>9.3149349521191556E-4</c:v>
                </c:pt>
                <c:pt idx="1">
                  <c:v>3.5865676455014862E-3</c:v>
                </c:pt>
                <c:pt idx="2">
                  <c:v>1.8519958323732972E-3</c:v>
                </c:pt>
                <c:pt idx="3">
                  <c:v>5.7862409392873647E-3</c:v>
                </c:pt>
              </c:numCache>
            </c:numRef>
          </c:val>
          <c:extLst>
            <c:ext xmlns:c16="http://schemas.microsoft.com/office/drawing/2014/chart" uri="{C3380CC4-5D6E-409C-BE32-E72D297353CC}">
              <c16:uniqueId val="{00000008-6A9D-47DB-A79F-FB92EECBB895}"/>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9-6A9D-47DB-A79F-FB92EECBB895}"/>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A-6A9D-47DB-A79F-FB92EECBB895}"/>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6A9D-47DB-A79F-FB92EECBB895}"/>
            </c:ext>
          </c:extLst>
        </c:ser>
        <c:dLbls>
          <c:showLegendKey val="0"/>
          <c:showVal val="0"/>
          <c:showCatName val="0"/>
          <c:showSerName val="0"/>
          <c:showPercent val="0"/>
          <c:showBubbleSize val="0"/>
        </c:dLbls>
        <c:axId val="599810312"/>
        <c:axId val="599814248"/>
        <c:extLst/>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1"/>
        <c:axPos val="l"/>
        <c:numFmt formatCode="General" sourceLinked="1"/>
        <c:majorTickMark val="out"/>
        <c:minorTickMark val="none"/>
        <c:tickLblPos val="nextTo"/>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ysClr val="windowText" lastClr="000000"/>
          </a:solidFill>
        </a:ln>
        <a:effectLst/>
      </c:spPr>
    </c:plotArea>
    <c:legend>
      <c:legendPos val="r"/>
      <c:legendEntry>
        <c:idx val="4"/>
        <c:delete val="1"/>
      </c:legendEntry>
      <c:layout>
        <c:manualLayout>
          <c:xMode val="edge"/>
          <c:yMode val="edge"/>
          <c:x val="0.78144800973247541"/>
          <c:y val="0.48592904914666896"/>
          <c:w val="0.20873604061175266"/>
          <c:h val="0.1010115760437011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Dashboard!$L$90</c:f>
          <c:strCache>
            <c:ptCount val="1"/>
            <c:pt idx="0">
              <c:v>Dermal Cancer Risk Estimates</c:v>
            </c:pt>
          </c:strCache>
        </c:strRef>
      </c:tx>
      <c:layout>
        <c:manualLayout>
          <c:xMode val="edge"/>
          <c:yMode val="edge"/>
          <c:x val="0.36062458254174651"/>
          <c:y val="3.74142531318897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4201544053601726"/>
          <c:y val="0.21054931230848406"/>
          <c:w val="0.59535948857066312"/>
          <c:h val="0.64409953815536147"/>
        </c:manualLayout>
      </c:layout>
      <c:barChart>
        <c:barDir val="bar"/>
        <c:grouping val="stacked"/>
        <c:varyColors val="0"/>
        <c:ser>
          <c:idx val="4"/>
          <c:order val="0"/>
          <c:tx>
            <c:strRef>
              <c:f>Dashboard!$N$90</c:f>
              <c:strCache>
                <c:ptCount val="1"/>
                <c:pt idx="0">
                  <c:v>Central Tendency</c:v>
                </c:pt>
              </c:strCache>
            </c:strRef>
          </c:tx>
          <c:spPr>
            <a:solidFill>
              <a:schemeClr val="accent5"/>
            </a:solidFill>
            <a:ln>
              <a:noFill/>
            </a:ln>
            <a:effectLst/>
          </c:spPr>
          <c:invertIfNegative val="0"/>
          <c:cat>
            <c:strRef>
              <c:f>Dashboard!$L$91:$L$92</c:f>
              <c:strCache>
                <c:ptCount val="2"/>
                <c:pt idx="0">
                  <c:v>No Gloves</c:v>
                </c:pt>
                <c:pt idx="1">
                  <c:v>Gloves: 10</c:v>
                </c:pt>
              </c:strCache>
            </c:strRef>
          </c:cat>
          <c:val>
            <c:numRef>
              <c:f>Dashboard!$N$91:$N$92</c:f>
              <c:numCache>
                <c:formatCode>0.00E+00</c:formatCode>
                <c:ptCount val="2"/>
                <c:pt idx="0">
                  <c:v>1.5720212630693797E-2</c:v>
                </c:pt>
                <c:pt idx="1">
                  <c:v>1.5720212630693795E-3</c:v>
                </c:pt>
              </c:numCache>
            </c:numRef>
          </c:val>
          <c:extLst>
            <c:ext xmlns:c16="http://schemas.microsoft.com/office/drawing/2014/chart" uri="{C3380CC4-5D6E-409C-BE32-E72D297353CC}">
              <c16:uniqueId val="{00000008-4E09-4C02-9C00-A77C3691DAF5}"/>
            </c:ext>
          </c:extLst>
        </c:ser>
        <c:ser>
          <c:idx val="0"/>
          <c:order val="1"/>
          <c:tx>
            <c:strRef>
              <c:f>Dashboard!$M$90</c:f>
              <c:strCache>
                <c:ptCount val="1"/>
                <c:pt idx="0">
                  <c:v>High 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1-312B-480C-AC55-494428656A8C}"/>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3-312B-480C-AC55-494428656A8C}"/>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5-312B-480C-AC55-494428656A8C}"/>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312B-480C-AC55-494428656A8C}"/>
              </c:ext>
            </c:extLst>
          </c:dPt>
          <c:cat>
            <c:strRef>
              <c:f>Dashboard!$L$91:$L$92</c:f>
              <c:strCache>
                <c:ptCount val="2"/>
                <c:pt idx="0">
                  <c:v>No Gloves</c:v>
                </c:pt>
                <c:pt idx="1">
                  <c:v>Gloves: 10</c:v>
                </c:pt>
              </c:strCache>
            </c:strRef>
          </c:cat>
          <c:val>
            <c:numRef>
              <c:f>Dashboard!$M$91:$M$92</c:f>
              <c:numCache>
                <c:formatCode>0.00E+00</c:formatCode>
                <c:ptCount val="2"/>
                <c:pt idx="0">
                  <c:v>6.9107611414752926E-2</c:v>
                </c:pt>
                <c:pt idx="1">
                  <c:v>6.9107611414752921E-3</c:v>
                </c:pt>
              </c:numCache>
            </c:numRef>
          </c:val>
          <c:extLst>
            <c:ext xmlns:c16="http://schemas.microsoft.com/office/drawing/2014/chart" uri="{C3380CC4-5D6E-409C-BE32-E72D297353CC}">
              <c16:uniqueId val="{00000008-312B-480C-AC55-494428656A8C}"/>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9-312B-480C-AC55-494428656A8C}"/>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A-312B-480C-AC55-494428656A8C}"/>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312B-480C-AC55-494428656A8C}"/>
            </c:ext>
          </c:extLst>
        </c:ser>
        <c:dLbls>
          <c:showLegendKey val="0"/>
          <c:showVal val="0"/>
          <c:showCatName val="0"/>
          <c:showSerName val="0"/>
          <c:showPercent val="0"/>
          <c:showBubbleSize val="0"/>
        </c:dLbls>
        <c:axId val="599810312"/>
        <c:axId val="599814248"/>
        <c:extLst/>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tx1"/>
          </a:solidFill>
        </a:ln>
        <a:effectLst/>
      </c:spPr>
    </c:plotArea>
    <c:legend>
      <c:legendPos val="r"/>
      <c:legendEntry>
        <c:idx val="4"/>
        <c:delete val="1"/>
      </c:legendEntry>
      <c:layout>
        <c:manualLayout>
          <c:xMode val="edge"/>
          <c:yMode val="edge"/>
          <c:x val="0.84666892501423174"/>
          <c:y val="0.46328339630668497"/>
          <c:w val="0.14389088631019784"/>
          <c:h val="0.1223401570488091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RR!$H$81</c:f>
          <c:strCache>
            <c:ptCount val="1"/>
            <c:pt idx="0">
              <c:v>Inhalation Cancer Risk Estimates</c:v>
            </c:pt>
          </c:strCache>
        </c:strRef>
      </c:tx>
      <c:layout>
        <c:manualLayout>
          <c:xMode val="edge"/>
          <c:yMode val="edge"/>
          <c:x val="0.35379421156466734"/>
          <c:y val="5.1188866307768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3729288181961663"/>
          <c:h val="0.60596785221581506"/>
        </c:manualLayout>
      </c:layout>
      <c:barChart>
        <c:barDir val="bar"/>
        <c:grouping val="stacked"/>
        <c:varyColors val="0"/>
        <c:ser>
          <c:idx val="4"/>
          <c:order val="0"/>
          <c:tx>
            <c:strRef>
              <c:f>RR!$J$81</c:f>
              <c:strCache>
                <c:ptCount val="1"/>
                <c:pt idx="0">
                  <c:v>Central Tendency</c:v>
                </c:pt>
              </c:strCache>
            </c:strRef>
          </c:tx>
          <c:spPr>
            <a:solidFill>
              <a:schemeClr val="accent5"/>
            </a:solidFill>
            <a:ln>
              <a:noFill/>
            </a:ln>
            <a:effectLst/>
          </c:spPr>
          <c:invertIfNegative val="0"/>
          <c:cat>
            <c:strRef>
              <c:f>RR!$H$82:$H$87</c:f>
              <c:strCache>
                <c:ptCount val="6"/>
                <c:pt idx="0">
                  <c:v>No Respirator</c:v>
                </c:pt>
                <c:pt idx="1">
                  <c:v>APF = 10</c:v>
                </c:pt>
                <c:pt idx="2">
                  <c:v>APF = 25</c:v>
                </c:pt>
                <c:pt idx="3">
                  <c:v>APF = 50</c:v>
                </c:pt>
                <c:pt idx="4">
                  <c:v>APF = 1,000</c:v>
                </c:pt>
                <c:pt idx="5">
                  <c:v>APF = 10,000</c:v>
                </c:pt>
              </c:strCache>
            </c:strRef>
          </c:cat>
          <c:val>
            <c:numRef>
              <c:f>RR!$J$82:$J$87</c:f>
              <c:numCache>
                <c:formatCode>0.00E+00</c:formatCode>
                <c:ptCount val="6"/>
                <c:pt idx="0">
                  <c:v>1.8519958323732972E-3</c:v>
                </c:pt>
                <c:pt idx="1">
                  <c:v>1.851995832373297E-4</c:v>
                </c:pt>
                <c:pt idx="2">
                  <c:v>7.4079833294931884E-5</c:v>
                </c:pt>
                <c:pt idx="3">
                  <c:v>3.7039916647465942E-5</c:v>
                </c:pt>
                <c:pt idx="4">
                  <c:v>1.8519958323732973E-6</c:v>
                </c:pt>
                <c:pt idx="5">
                  <c:v>1.8519958323732975E-7</c:v>
                </c:pt>
              </c:numCache>
            </c:numRef>
          </c:val>
          <c:extLst>
            <c:ext xmlns:c16="http://schemas.microsoft.com/office/drawing/2014/chart" uri="{C3380CC4-5D6E-409C-BE32-E72D297353CC}">
              <c16:uniqueId val="{0000000C-0523-48BC-9D17-AA720449FCD4}"/>
            </c:ext>
          </c:extLst>
        </c:ser>
        <c:ser>
          <c:idx val="0"/>
          <c:order val="1"/>
          <c:tx>
            <c:strRef>
              <c:f>RR!$I$81</c:f>
              <c:strCache>
                <c:ptCount val="1"/>
                <c:pt idx="0">
                  <c:v>High 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1-0523-48BC-9D17-AA720449FCD4}"/>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3-0523-48BC-9D17-AA720449FCD4}"/>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5-0523-48BC-9D17-AA720449FCD4}"/>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0523-48BC-9D17-AA720449FCD4}"/>
              </c:ext>
            </c:extLst>
          </c:dPt>
          <c:cat>
            <c:strRef>
              <c:f>RR!$H$82:$H$87</c:f>
              <c:strCache>
                <c:ptCount val="6"/>
                <c:pt idx="0">
                  <c:v>No Respirator</c:v>
                </c:pt>
                <c:pt idx="1">
                  <c:v>APF = 10</c:v>
                </c:pt>
                <c:pt idx="2">
                  <c:v>APF = 25</c:v>
                </c:pt>
                <c:pt idx="3">
                  <c:v>APF = 50</c:v>
                </c:pt>
                <c:pt idx="4">
                  <c:v>APF = 1,000</c:v>
                </c:pt>
                <c:pt idx="5">
                  <c:v>APF = 10,000</c:v>
                </c:pt>
              </c:strCache>
            </c:strRef>
          </c:cat>
          <c:val>
            <c:numRef>
              <c:f>RR!$I$82:$I$87</c:f>
              <c:numCache>
                <c:formatCode>0.00E+00</c:formatCode>
                <c:ptCount val="6"/>
                <c:pt idx="0">
                  <c:v>5.7862409392873647E-3</c:v>
                </c:pt>
                <c:pt idx="1">
                  <c:v>5.7862409392873645E-4</c:v>
                </c:pt>
                <c:pt idx="2">
                  <c:v>2.3144963757149457E-4</c:v>
                </c:pt>
                <c:pt idx="3">
                  <c:v>1.1572481878574728E-4</c:v>
                </c:pt>
                <c:pt idx="4">
                  <c:v>5.7862409392873654E-6</c:v>
                </c:pt>
                <c:pt idx="5">
                  <c:v>5.7862409392873648E-7</c:v>
                </c:pt>
              </c:numCache>
            </c:numRef>
          </c:val>
          <c:extLst>
            <c:ext xmlns:c16="http://schemas.microsoft.com/office/drawing/2014/chart" uri="{C3380CC4-5D6E-409C-BE32-E72D297353CC}">
              <c16:uniqueId val="{00000008-0523-48BC-9D17-AA720449FCD4}"/>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9-0523-48BC-9D17-AA720449FCD4}"/>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A-0523-48BC-9D17-AA720449FCD4}"/>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0523-48BC-9D17-AA720449FCD4}"/>
            </c:ext>
          </c:extLst>
        </c:ser>
        <c:dLbls>
          <c:showLegendKey val="0"/>
          <c:showVal val="0"/>
          <c:showCatName val="0"/>
          <c:showSerName val="0"/>
          <c:showPercent val="0"/>
          <c:showBubbleSize val="0"/>
        </c:dLbls>
        <c:axId val="599810312"/>
        <c:axId val="599814248"/>
        <c:extLst/>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1"/>
        <c:axPos val="l"/>
        <c:numFmt formatCode="General" sourceLinked="1"/>
        <c:majorTickMark val="out"/>
        <c:minorTickMark val="none"/>
        <c:tickLblPos val="nextTo"/>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tx1"/>
          </a:solidFill>
        </a:ln>
        <a:effectLst/>
      </c:spPr>
    </c:plotArea>
    <c:legend>
      <c:legendPos val="r"/>
      <c:legendEntry>
        <c:idx val="4"/>
        <c:delete val="1"/>
      </c:legendEntry>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RR!$S$81</c:f>
          <c:strCache>
            <c:ptCount val="1"/>
            <c:pt idx="0">
              <c:v>Dermal Cancer Risk Estimates</c:v>
            </c:pt>
          </c:strCache>
        </c:strRef>
      </c:tx>
      <c:layout>
        <c:manualLayout>
          <c:xMode val="edge"/>
          <c:yMode val="edge"/>
          <c:x val="0.36062458254174651"/>
          <c:y val="3.74142531318897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1536767478778098"/>
          <c:h val="0.63093447925324686"/>
        </c:manualLayout>
      </c:layout>
      <c:barChart>
        <c:barDir val="bar"/>
        <c:grouping val="stacked"/>
        <c:varyColors val="0"/>
        <c:ser>
          <c:idx val="4"/>
          <c:order val="0"/>
          <c:tx>
            <c:strRef>
              <c:f>RR!$U$81</c:f>
              <c:strCache>
                <c:ptCount val="1"/>
                <c:pt idx="0">
                  <c:v>Central Tendency</c:v>
                </c:pt>
              </c:strCache>
            </c:strRef>
          </c:tx>
          <c:spPr>
            <a:solidFill>
              <a:schemeClr val="accent5"/>
            </a:solidFill>
            <a:ln>
              <a:noFill/>
            </a:ln>
            <a:effectLst/>
          </c:spPr>
          <c:invertIfNegative val="0"/>
          <c:cat>
            <c:strRef>
              <c:f>RR!$S$82:$S$85</c:f>
              <c:strCache>
                <c:ptCount val="4"/>
                <c:pt idx="0">
                  <c:v>No Gloves (PF = 1)</c:v>
                </c:pt>
                <c:pt idx="1">
                  <c:v>Protective Gloves (PF = 5)</c:v>
                </c:pt>
                <c:pt idx="2">
                  <c:v>Protective Gloves 
(Commercial uses, PF = 10)</c:v>
                </c:pt>
                <c:pt idx="3">
                  <c:v>Protective Gloves 
(Industrial uses, PF = 20)</c:v>
                </c:pt>
              </c:strCache>
            </c:strRef>
          </c:cat>
          <c:val>
            <c:numRef>
              <c:f>RR!$U$82:$U$85</c:f>
              <c:numCache>
                <c:formatCode>0.00E+00</c:formatCode>
                <c:ptCount val="4"/>
                <c:pt idx="0">
                  <c:v>1.5720212630693797E-2</c:v>
                </c:pt>
                <c:pt idx="1">
                  <c:v>3.144042526138759E-3</c:v>
                </c:pt>
                <c:pt idx="2">
                  <c:v>1.5720212630693795E-3</c:v>
                </c:pt>
                <c:pt idx="3">
                  <c:v>7.8601063153468974E-4</c:v>
                </c:pt>
              </c:numCache>
            </c:numRef>
          </c:val>
          <c:extLst>
            <c:ext xmlns:c16="http://schemas.microsoft.com/office/drawing/2014/chart" uri="{C3380CC4-5D6E-409C-BE32-E72D297353CC}">
              <c16:uniqueId val="{00000008-5ED6-4E63-824C-46789EE935D0}"/>
            </c:ext>
          </c:extLst>
        </c:ser>
        <c:ser>
          <c:idx val="0"/>
          <c:order val="1"/>
          <c:tx>
            <c:strRef>
              <c:f>RR!$T$81</c:f>
              <c:strCache>
                <c:ptCount val="1"/>
                <c:pt idx="0">
                  <c:v>High 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1-7A20-4297-8B57-81429CDB4302}"/>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3-7A20-4297-8B57-81429CDB4302}"/>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5-7A20-4297-8B57-81429CDB4302}"/>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7A20-4297-8B57-81429CDB4302}"/>
              </c:ext>
            </c:extLst>
          </c:dPt>
          <c:cat>
            <c:strRef>
              <c:f>RR!$S$82:$S$85</c:f>
              <c:strCache>
                <c:ptCount val="4"/>
                <c:pt idx="0">
                  <c:v>No Gloves (PF = 1)</c:v>
                </c:pt>
                <c:pt idx="1">
                  <c:v>Protective Gloves (PF = 5)</c:v>
                </c:pt>
                <c:pt idx="2">
                  <c:v>Protective Gloves 
(Commercial uses, PF = 10)</c:v>
                </c:pt>
                <c:pt idx="3">
                  <c:v>Protective Gloves 
(Industrial uses, PF = 20)</c:v>
                </c:pt>
              </c:strCache>
            </c:strRef>
          </c:cat>
          <c:val>
            <c:numRef>
              <c:f>RR!$T$82:$T$85</c:f>
              <c:numCache>
                <c:formatCode>0.00E+00</c:formatCode>
                <c:ptCount val="4"/>
                <c:pt idx="0">
                  <c:v>6.9107611414752926E-2</c:v>
                </c:pt>
                <c:pt idx="1">
                  <c:v>1.3821522282950584E-2</c:v>
                </c:pt>
                <c:pt idx="2">
                  <c:v>6.9107611414752921E-3</c:v>
                </c:pt>
                <c:pt idx="3">
                  <c:v>3.455380570737646E-3</c:v>
                </c:pt>
              </c:numCache>
            </c:numRef>
          </c:val>
          <c:extLst>
            <c:ext xmlns:c16="http://schemas.microsoft.com/office/drawing/2014/chart" uri="{C3380CC4-5D6E-409C-BE32-E72D297353CC}">
              <c16:uniqueId val="{00000008-7A20-4297-8B57-81429CDB4302}"/>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9-7A20-4297-8B57-81429CDB4302}"/>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xmlns:c15="http://schemas.microsoft.com/office/drawing/2012/chart">
            <c:ext xmlns:c16="http://schemas.microsoft.com/office/drawing/2014/chart" uri="{C3380CC4-5D6E-409C-BE32-E72D297353CC}">
              <c16:uniqueId val="{0000000A-7A20-4297-8B57-81429CDB4302}"/>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7A20-4297-8B57-81429CDB4302}"/>
            </c:ext>
          </c:extLst>
        </c:ser>
        <c:dLbls>
          <c:showLegendKey val="0"/>
          <c:showVal val="0"/>
          <c:showCatName val="0"/>
          <c:showSerName val="0"/>
          <c:showPercent val="0"/>
          <c:showBubbleSize val="0"/>
        </c:dLbls>
        <c:axId val="599810312"/>
        <c:axId val="599814248"/>
        <c:extLst/>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w="1270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ysClr val="windowText" lastClr="000000"/>
          </a:solidFill>
        </a:ln>
        <a:effectLst/>
      </c:spPr>
    </c:plotArea>
    <c:legend>
      <c:legendPos val="r"/>
      <c:legendEntry>
        <c:idx val="4"/>
        <c:delete val="1"/>
      </c:legendEntry>
      <c:layout>
        <c:manualLayout>
          <c:xMode val="edge"/>
          <c:yMode val="edge"/>
          <c:x val="0.83664329828752293"/>
          <c:y val="0.43264170546451891"/>
          <c:w val="0.15639498764417403"/>
          <c:h val="0.134271614509564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'RR &lt;PEL'!$H$81</c:f>
          <c:strCache>
            <c:ptCount val="1"/>
            <c:pt idx="0">
              <c:v>Inhalation Cancer Risk Estimates</c:v>
            </c:pt>
          </c:strCache>
        </c:strRef>
      </c:tx>
      <c:layout>
        <c:manualLayout>
          <c:xMode val="edge"/>
          <c:yMode val="edge"/>
          <c:x val="0.35379421156466734"/>
          <c:y val="5.11888663077683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3729288181961663"/>
          <c:h val="0.60596785221581506"/>
        </c:manualLayout>
      </c:layout>
      <c:barChart>
        <c:barDir val="bar"/>
        <c:grouping val="stacked"/>
        <c:varyColors val="0"/>
        <c:ser>
          <c:idx val="4"/>
          <c:order val="0"/>
          <c:tx>
            <c:strRef>
              <c:f>'RR &lt;PEL'!$J$81</c:f>
              <c:strCache>
                <c:ptCount val="1"/>
                <c:pt idx="0">
                  <c:v>Central Tendency</c:v>
                </c:pt>
              </c:strCache>
            </c:strRef>
          </c:tx>
          <c:spPr>
            <a:solidFill>
              <a:schemeClr val="accent5"/>
            </a:solidFill>
            <a:ln>
              <a:noFill/>
            </a:ln>
            <a:effectLst/>
          </c:spPr>
          <c:invertIfNegative val="0"/>
          <c:cat>
            <c:strRef>
              <c:f>'RR &lt;PEL'!$H$82:$H$87</c:f>
              <c:strCache>
                <c:ptCount val="6"/>
                <c:pt idx="0">
                  <c:v>No Respirator</c:v>
                </c:pt>
                <c:pt idx="1">
                  <c:v>APF = 10</c:v>
                </c:pt>
                <c:pt idx="2">
                  <c:v>APF = 25</c:v>
                </c:pt>
                <c:pt idx="3">
                  <c:v>APF = 50</c:v>
                </c:pt>
                <c:pt idx="4">
                  <c:v>APF = 1,000</c:v>
                </c:pt>
                <c:pt idx="5">
                  <c:v>APF = 10,000</c:v>
                </c:pt>
              </c:strCache>
            </c:strRef>
          </c:cat>
          <c:val>
            <c:numRef>
              <c:f>'RR &lt;PEL'!$J$82:$J$87</c:f>
              <c:numCache>
                <c:formatCode>0.00E+00</c:formatCode>
                <c:ptCount val="6"/>
                <c:pt idx="0">
                  <c:v>1.8519958323732972E-3</c:v>
                </c:pt>
                <c:pt idx="1">
                  <c:v>1.851995832373297E-4</c:v>
                </c:pt>
                <c:pt idx="2">
                  <c:v>7.4079833294931884E-5</c:v>
                </c:pt>
                <c:pt idx="3">
                  <c:v>3.7039916647465942E-5</c:v>
                </c:pt>
                <c:pt idx="4">
                  <c:v>1.8519958323732973E-6</c:v>
                </c:pt>
                <c:pt idx="5">
                  <c:v>1.8519958323732975E-7</c:v>
                </c:pt>
              </c:numCache>
            </c:numRef>
          </c:val>
          <c:extLst>
            <c:ext xmlns:c16="http://schemas.microsoft.com/office/drawing/2014/chart" uri="{C3380CC4-5D6E-409C-BE32-E72D297353CC}">
              <c16:uniqueId val="{00000000-4075-4206-BB1F-96B4900E2BEF}"/>
            </c:ext>
          </c:extLst>
        </c:ser>
        <c:ser>
          <c:idx val="0"/>
          <c:order val="1"/>
          <c:tx>
            <c:strRef>
              <c:f>'RR &lt;PEL'!$I$81</c:f>
              <c:strCache>
                <c:ptCount val="1"/>
                <c:pt idx="0">
                  <c:v>High 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2-4075-4206-BB1F-96B4900E2BEF}"/>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4-4075-4206-BB1F-96B4900E2BEF}"/>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4075-4206-BB1F-96B4900E2BEF}"/>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8-4075-4206-BB1F-96B4900E2BEF}"/>
              </c:ext>
            </c:extLst>
          </c:dPt>
          <c:cat>
            <c:strRef>
              <c:f>'RR &lt;PEL'!$H$82:$H$87</c:f>
              <c:strCache>
                <c:ptCount val="6"/>
                <c:pt idx="0">
                  <c:v>No Respirator</c:v>
                </c:pt>
                <c:pt idx="1">
                  <c:v>APF = 10</c:v>
                </c:pt>
                <c:pt idx="2">
                  <c:v>APF = 25</c:v>
                </c:pt>
                <c:pt idx="3">
                  <c:v>APF = 50</c:v>
                </c:pt>
                <c:pt idx="4">
                  <c:v>APF = 1,000</c:v>
                </c:pt>
                <c:pt idx="5">
                  <c:v>APF = 10,000</c:v>
                </c:pt>
              </c:strCache>
            </c:strRef>
          </c:cat>
          <c:val>
            <c:numRef>
              <c:f>'RR &lt;PEL'!$I$82:$I$87</c:f>
              <c:numCache>
                <c:formatCode>0.00E+00</c:formatCode>
                <c:ptCount val="6"/>
                <c:pt idx="0">
                  <c:v>5.7862409392873647E-3</c:v>
                </c:pt>
                <c:pt idx="1">
                  <c:v>5.7862409392873645E-4</c:v>
                </c:pt>
                <c:pt idx="2">
                  <c:v>2.3144963757149457E-4</c:v>
                </c:pt>
                <c:pt idx="3">
                  <c:v>1.1572481878574728E-4</c:v>
                </c:pt>
                <c:pt idx="4">
                  <c:v>5.7862409392873654E-6</c:v>
                </c:pt>
                <c:pt idx="5">
                  <c:v>5.7862409392873648E-7</c:v>
                </c:pt>
              </c:numCache>
            </c:numRef>
          </c:val>
          <c:extLst>
            <c:ext xmlns:c16="http://schemas.microsoft.com/office/drawing/2014/chart" uri="{C3380CC4-5D6E-409C-BE32-E72D297353CC}">
              <c16:uniqueId val="{00000009-4075-4206-BB1F-96B4900E2BEF}"/>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A-4075-4206-BB1F-96B4900E2BEF}"/>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4075-4206-BB1F-96B4900E2BEF}"/>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C-4075-4206-BB1F-96B4900E2BEF}"/>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1"/>
        <c:axPos val="l"/>
        <c:numFmt formatCode="General" sourceLinked="1"/>
        <c:majorTickMark val="out"/>
        <c:minorTickMark val="none"/>
        <c:tickLblPos val="nextTo"/>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tx1"/>
          </a:solidFill>
        </a:ln>
        <a:effectLst/>
      </c:spPr>
    </c:plotArea>
    <c:legend>
      <c:legendPos val="r"/>
      <c:legendEntry>
        <c:idx val="2"/>
        <c:delete val="1"/>
      </c:legendEntry>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'RR &lt;PEL'!$S$81</c:f>
          <c:strCache>
            <c:ptCount val="1"/>
            <c:pt idx="0">
              <c:v>Dermal Cancer Risk Estimates</c:v>
            </c:pt>
          </c:strCache>
        </c:strRef>
      </c:tx>
      <c:layout>
        <c:manualLayout>
          <c:xMode val="edge"/>
          <c:yMode val="edge"/>
          <c:x val="0.36062458254174651"/>
          <c:y val="3.74142531318897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1536767478778098"/>
          <c:h val="0.63093447925324686"/>
        </c:manualLayout>
      </c:layout>
      <c:barChart>
        <c:barDir val="bar"/>
        <c:grouping val="stacked"/>
        <c:varyColors val="0"/>
        <c:ser>
          <c:idx val="4"/>
          <c:order val="0"/>
          <c:tx>
            <c:strRef>
              <c:f>'RR &lt;PEL'!$U$81</c:f>
              <c:strCache>
                <c:ptCount val="1"/>
                <c:pt idx="0">
                  <c:v>Central Tendency</c:v>
                </c:pt>
              </c:strCache>
            </c:strRef>
          </c:tx>
          <c:spPr>
            <a:solidFill>
              <a:schemeClr val="accent5"/>
            </a:solidFill>
            <a:ln>
              <a:noFill/>
            </a:ln>
            <a:effectLst/>
          </c:spPr>
          <c:invertIfNegative val="0"/>
          <c:cat>
            <c:strRef>
              <c:f>'RR &lt;PEL'!$S$82:$S$85</c:f>
              <c:strCache>
                <c:ptCount val="4"/>
                <c:pt idx="0">
                  <c:v>No Gloves (PF = 1)</c:v>
                </c:pt>
                <c:pt idx="1">
                  <c:v>Protective Gloves (PF = 5)</c:v>
                </c:pt>
                <c:pt idx="2">
                  <c:v>Protective Gloves 
(Commercial uses, PF = 10)</c:v>
                </c:pt>
                <c:pt idx="3">
                  <c:v>Protective Gloves 
(Industrial uses, PF = 20)</c:v>
                </c:pt>
              </c:strCache>
            </c:strRef>
          </c:cat>
          <c:val>
            <c:numRef>
              <c:f>'RR &lt;PEL'!$U$82:$U$85</c:f>
              <c:numCache>
                <c:formatCode>0.00E+00</c:formatCode>
                <c:ptCount val="4"/>
                <c:pt idx="0">
                  <c:v>1.5720212630693797E-2</c:v>
                </c:pt>
                <c:pt idx="1">
                  <c:v>3.144042526138759E-3</c:v>
                </c:pt>
                <c:pt idx="2">
                  <c:v>1.5720212630693795E-3</c:v>
                </c:pt>
                <c:pt idx="3">
                  <c:v>7.8601063153468974E-4</c:v>
                </c:pt>
              </c:numCache>
            </c:numRef>
          </c:val>
          <c:extLst>
            <c:ext xmlns:c16="http://schemas.microsoft.com/office/drawing/2014/chart" uri="{C3380CC4-5D6E-409C-BE32-E72D297353CC}">
              <c16:uniqueId val="{00000000-B211-4802-B1CB-23F296F4BDAC}"/>
            </c:ext>
          </c:extLst>
        </c:ser>
        <c:ser>
          <c:idx val="0"/>
          <c:order val="1"/>
          <c:tx>
            <c:strRef>
              <c:f>'RR &lt;PEL'!$T$81</c:f>
              <c:strCache>
                <c:ptCount val="1"/>
                <c:pt idx="0">
                  <c:v>High End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2-B211-4802-B1CB-23F296F4BDAC}"/>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004-B211-4802-B1CB-23F296F4BDAC}"/>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B211-4802-B1CB-23F296F4BDAC}"/>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8-B211-4802-B1CB-23F296F4BDAC}"/>
              </c:ext>
            </c:extLst>
          </c:dPt>
          <c:cat>
            <c:strRef>
              <c:f>'RR &lt;PEL'!$S$82:$S$85</c:f>
              <c:strCache>
                <c:ptCount val="4"/>
                <c:pt idx="0">
                  <c:v>No Gloves (PF = 1)</c:v>
                </c:pt>
                <c:pt idx="1">
                  <c:v>Protective Gloves (PF = 5)</c:v>
                </c:pt>
                <c:pt idx="2">
                  <c:v>Protective Gloves 
(Commercial uses, PF = 10)</c:v>
                </c:pt>
                <c:pt idx="3">
                  <c:v>Protective Gloves 
(Industrial uses, PF = 20)</c:v>
                </c:pt>
              </c:strCache>
            </c:strRef>
          </c:cat>
          <c:val>
            <c:numRef>
              <c:f>'RR &lt;PEL'!$T$82:$T$85</c:f>
              <c:numCache>
                <c:formatCode>0.00E+00</c:formatCode>
                <c:ptCount val="4"/>
                <c:pt idx="0">
                  <c:v>6.9107611414752926E-2</c:v>
                </c:pt>
                <c:pt idx="1">
                  <c:v>1.3821522282950584E-2</c:v>
                </c:pt>
                <c:pt idx="2">
                  <c:v>6.9107611414752921E-3</c:v>
                </c:pt>
                <c:pt idx="3">
                  <c:v>3.455380570737646E-3</c:v>
                </c:pt>
              </c:numCache>
            </c:numRef>
          </c:val>
          <c:extLst>
            <c:ext xmlns:c16="http://schemas.microsoft.com/office/drawing/2014/chart" uri="{C3380CC4-5D6E-409C-BE32-E72D297353CC}">
              <c16:uniqueId val="{00000009-B211-4802-B1CB-23F296F4BDAC}"/>
            </c:ext>
          </c:extLst>
        </c:ser>
        <c:dLbls>
          <c:showLegendKey val="0"/>
          <c:showVal val="0"/>
          <c:showCatName val="0"/>
          <c:showSerName val="0"/>
          <c:showPercent val="0"/>
          <c:showBubbleSize val="0"/>
        </c:dLbls>
        <c:gapWidth val="150"/>
        <c:overlap val="100"/>
        <c:axId val="580062808"/>
        <c:axId val="580066744"/>
      </c:barChart>
      <c:scatterChart>
        <c:scatterStyle val="lineMarker"/>
        <c:varyColors val="0"/>
        <c:ser>
          <c:idx val="1"/>
          <c:order val="2"/>
          <c:tx>
            <c:v>1.00E-06</c:v>
          </c:tx>
          <c:spPr>
            <a:ln w="28575" cap="rnd">
              <a:solidFill>
                <a:srgbClr val="FF0000"/>
              </a:solidFill>
              <a:round/>
            </a:ln>
            <a:effectLst/>
          </c:spPr>
          <c:marker>
            <c:symbol val="none"/>
          </c:marker>
          <c:xVal>
            <c:numLit>
              <c:formatCode>General</c:formatCode>
              <c:ptCount val="6"/>
              <c:pt idx="0">
                <c:v>9.9999999999999995E-7</c:v>
              </c:pt>
              <c:pt idx="1">
                <c:v>9.9999999999999995E-7</c:v>
              </c:pt>
              <c:pt idx="2">
                <c:v>9.9999999999999995E-7</c:v>
              </c:pt>
              <c:pt idx="3">
                <c:v>9.9999999999999995E-7</c:v>
              </c:pt>
              <c:pt idx="4">
                <c:v>9.9999999999999995E-7</c:v>
              </c:pt>
              <c:pt idx="5">
                <c:v>9.9999999999999995E-7</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A-B211-4802-B1CB-23F296F4BDAC}"/>
            </c:ext>
          </c:extLst>
        </c:ser>
        <c:ser>
          <c:idx val="2"/>
          <c:order val="3"/>
          <c:tx>
            <c:v>1.00E-05</c:v>
          </c:tx>
          <c:spPr>
            <a:ln w="28575" cap="rnd">
              <a:solidFill>
                <a:srgbClr val="FF0000"/>
              </a:solidFill>
              <a:round/>
            </a:ln>
            <a:effectLst/>
          </c:spPr>
          <c:marker>
            <c:symbol val="none"/>
          </c:marker>
          <c:xVal>
            <c:numLit>
              <c:formatCode>General</c:formatCode>
              <c:ptCount val="6"/>
              <c:pt idx="0">
                <c:v>1.0000000000000001E-5</c:v>
              </c:pt>
              <c:pt idx="1">
                <c:v>1.0000000000000001E-5</c:v>
              </c:pt>
              <c:pt idx="2">
                <c:v>1.0000000000000001E-5</c:v>
              </c:pt>
              <c:pt idx="3">
                <c:v>1.0000000000000001E-5</c:v>
              </c:pt>
              <c:pt idx="4">
                <c:v>1.0000000000000001E-5</c:v>
              </c:pt>
              <c:pt idx="5">
                <c:v>1.0000000000000001E-5</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B-B211-4802-B1CB-23F296F4BDAC}"/>
            </c:ext>
          </c:extLst>
        </c:ser>
        <c:ser>
          <c:idx val="3"/>
          <c:order val="4"/>
          <c:tx>
            <c:v>1.00E-04</c:v>
          </c:tx>
          <c:spPr>
            <a:ln w="28575" cap="rnd">
              <a:solidFill>
                <a:srgbClr val="FF0000"/>
              </a:solidFill>
              <a:round/>
            </a:ln>
            <a:effectLst/>
          </c:spPr>
          <c:marker>
            <c:symbol val="none"/>
          </c:marker>
          <c:xVal>
            <c:numLit>
              <c:formatCode>General</c:formatCode>
              <c:ptCount val="6"/>
              <c:pt idx="0">
                <c:v>1E-4</c:v>
              </c:pt>
              <c:pt idx="1">
                <c:v>1E-4</c:v>
              </c:pt>
              <c:pt idx="2">
                <c:v>1E-4</c:v>
              </c:pt>
              <c:pt idx="3">
                <c:v>1E-4</c:v>
              </c:pt>
              <c:pt idx="4">
                <c:v>1E-4</c:v>
              </c:pt>
              <c:pt idx="5">
                <c:v>1E-4</c:v>
              </c:pt>
            </c:numLit>
          </c:xVal>
          <c:yVal>
            <c:numLit>
              <c:formatCode>General</c:formatCode>
              <c:ptCount val="6"/>
              <c:pt idx="0">
                <c:v>7</c:v>
              </c:pt>
              <c:pt idx="1">
                <c:v>5</c:v>
              </c:pt>
              <c:pt idx="2">
                <c:v>4</c:v>
              </c:pt>
              <c:pt idx="3">
                <c:v>3</c:v>
              </c:pt>
              <c:pt idx="4">
                <c:v>2</c:v>
              </c:pt>
              <c:pt idx="5">
                <c:v>0</c:v>
              </c:pt>
            </c:numLit>
          </c:yVal>
          <c:smooth val="0"/>
          <c:extLst>
            <c:ext xmlns:c16="http://schemas.microsoft.com/office/drawing/2014/chart" uri="{C3380CC4-5D6E-409C-BE32-E72D297353CC}">
              <c16:uniqueId val="{0000000C-B211-4802-B1CB-23F296F4BDAC}"/>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Excess Cancer Risk</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E+0" sourceLinked="0"/>
        <c:majorTickMark val="none"/>
        <c:minorTickMark val="none"/>
        <c:tickLblPos val="high"/>
        <c:spPr>
          <a:noFill/>
          <a:ln w="1270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ysClr val="windowText" lastClr="000000"/>
          </a:solidFill>
        </a:ln>
        <a:effectLst/>
      </c:spPr>
    </c:plotArea>
    <c:legend>
      <c:legendPos val="r"/>
      <c:legendEntry>
        <c:idx val="2"/>
        <c:delete val="1"/>
      </c:legendEntry>
      <c:legendEntry>
        <c:idx val="3"/>
        <c:delete val="1"/>
      </c:legendEntry>
      <c:legendEntry>
        <c:idx val="4"/>
        <c:delete val="1"/>
      </c:legendEntry>
      <c:layout>
        <c:manualLayout>
          <c:xMode val="edge"/>
          <c:yMode val="edge"/>
          <c:x val="0.83664329828752293"/>
          <c:y val="0.43264170546451891"/>
          <c:w val="0.15639498764417403"/>
          <c:h val="0.134271614509564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23986</xdr:colOff>
      <xdr:row>17</xdr:row>
      <xdr:rowOff>47625</xdr:rowOff>
    </xdr:from>
    <xdr:to>
      <xdr:col>18</xdr:col>
      <xdr:colOff>99203</xdr:colOff>
      <xdr:row>38</xdr:row>
      <xdr:rowOff>142875</xdr:rowOff>
    </xdr:to>
    <xdr:pic>
      <xdr:nvPicPr>
        <xdr:cNvPr id="4" name="Picture 3">
          <a:extLst>
            <a:ext uri="{FF2B5EF4-FFF2-40B4-BE49-F238E27FC236}">
              <a16:creationId xmlns:a16="http://schemas.microsoft.com/office/drawing/2014/main" id="{550F618B-12CD-4D82-BDD0-A4261BDBFE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986" y="4572000"/>
          <a:ext cx="10838467" cy="4095750"/>
        </a:xfrm>
        <a:prstGeom prst="rect">
          <a:avLst/>
        </a:prstGeom>
      </xdr:spPr>
    </xdr:pic>
    <xdr:clientData/>
  </xdr:twoCellAnchor>
  <xdr:twoCellAnchor>
    <xdr:from>
      <xdr:col>0</xdr:col>
      <xdr:colOff>266700</xdr:colOff>
      <xdr:row>18</xdr:row>
      <xdr:rowOff>0</xdr:rowOff>
    </xdr:from>
    <xdr:to>
      <xdr:col>13</xdr:col>
      <xdr:colOff>171450</xdr:colOff>
      <xdr:row>22</xdr:row>
      <xdr:rowOff>38100</xdr:rowOff>
    </xdr:to>
    <xdr:sp macro="" textlink="">
      <xdr:nvSpPr>
        <xdr:cNvPr id="6" name="Rectangle 5">
          <a:extLst>
            <a:ext uri="{FF2B5EF4-FFF2-40B4-BE49-F238E27FC236}">
              <a16:creationId xmlns:a16="http://schemas.microsoft.com/office/drawing/2014/main" id="{1F0D6A29-1C45-434F-9F8F-03AD387FAC4A}"/>
            </a:ext>
          </a:extLst>
        </xdr:cNvPr>
        <xdr:cNvSpPr/>
      </xdr:nvSpPr>
      <xdr:spPr>
        <a:xfrm>
          <a:off x="266700" y="4714875"/>
          <a:ext cx="7620000" cy="800100"/>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13</xdr:col>
      <xdr:colOff>590550</xdr:colOff>
      <xdr:row>18</xdr:row>
      <xdr:rowOff>38099</xdr:rowOff>
    </xdr:from>
    <xdr:to>
      <xdr:col>16</xdr:col>
      <xdr:colOff>314326</xdr:colOff>
      <xdr:row>19</xdr:row>
      <xdr:rowOff>142874</xdr:rowOff>
    </xdr:to>
    <xdr:sp macro="" textlink="">
      <xdr:nvSpPr>
        <xdr:cNvPr id="7" name="Text Box 2">
          <a:extLst>
            <a:ext uri="{FF2B5EF4-FFF2-40B4-BE49-F238E27FC236}">
              <a16:creationId xmlns:a16="http://schemas.microsoft.com/office/drawing/2014/main" id="{87B7ADB2-6DE3-46C8-853B-FE4AFE4D89D0}"/>
            </a:ext>
          </a:extLst>
        </xdr:cNvPr>
        <xdr:cNvSpPr txBox="1">
          <a:spLocks noChangeArrowheads="1"/>
        </xdr:cNvSpPr>
      </xdr:nvSpPr>
      <xdr:spPr bwMode="auto">
        <a:xfrm>
          <a:off x="8305800" y="4752974"/>
          <a:ext cx="1552576" cy="295275"/>
        </a:xfrm>
        <a:prstGeom prst="rect">
          <a:avLst/>
        </a:prstGeom>
        <a:noFill/>
        <a:ln w="9525">
          <a:solidFill>
            <a:schemeClr val="accent2"/>
          </a:solid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User Selection Boxes</a:t>
          </a:r>
        </a:p>
      </xdr:txBody>
    </xdr:sp>
    <xdr:clientData/>
  </xdr:twoCellAnchor>
  <xdr:twoCellAnchor>
    <xdr:from>
      <xdr:col>13</xdr:col>
      <xdr:colOff>148225</xdr:colOff>
      <xdr:row>19</xdr:row>
      <xdr:rowOff>0</xdr:rowOff>
    </xdr:from>
    <xdr:to>
      <xdr:col>13</xdr:col>
      <xdr:colOff>590550</xdr:colOff>
      <xdr:row>19</xdr:row>
      <xdr:rowOff>0</xdr:rowOff>
    </xdr:to>
    <xdr:cxnSp macro="">
      <xdr:nvCxnSpPr>
        <xdr:cNvPr id="8" name="Straight Arrow Connector 7">
          <a:extLst>
            <a:ext uri="{FF2B5EF4-FFF2-40B4-BE49-F238E27FC236}">
              <a16:creationId xmlns:a16="http://schemas.microsoft.com/office/drawing/2014/main" id="{AF6B84FD-E24B-4B8E-BCFF-3166171BC6D9}"/>
            </a:ext>
          </a:extLst>
        </xdr:cNvPr>
        <xdr:cNvCxnSpPr/>
      </xdr:nvCxnSpPr>
      <xdr:spPr>
        <a:xfrm flipH="1">
          <a:off x="7863475" y="4905375"/>
          <a:ext cx="442325"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228600</xdr:colOff>
      <xdr:row>23</xdr:row>
      <xdr:rowOff>95250</xdr:rowOff>
    </xdr:from>
    <xdr:to>
      <xdr:col>18</xdr:col>
      <xdr:colOff>238125</xdr:colOff>
      <xdr:row>28</xdr:row>
      <xdr:rowOff>76200</xdr:rowOff>
    </xdr:to>
    <xdr:sp macro="" textlink="">
      <xdr:nvSpPr>
        <xdr:cNvPr id="11" name="Rectangle 10">
          <a:extLst>
            <a:ext uri="{FF2B5EF4-FFF2-40B4-BE49-F238E27FC236}">
              <a16:creationId xmlns:a16="http://schemas.microsoft.com/office/drawing/2014/main" id="{A64CF4A0-50B2-40B2-B6B8-5ACD466D0EDB}"/>
            </a:ext>
          </a:extLst>
        </xdr:cNvPr>
        <xdr:cNvSpPr/>
      </xdr:nvSpPr>
      <xdr:spPr>
        <a:xfrm>
          <a:off x="228600" y="5762625"/>
          <a:ext cx="10772775" cy="933450"/>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16</xdr:col>
      <xdr:colOff>335251</xdr:colOff>
      <xdr:row>22</xdr:row>
      <xdr:rowOff>66675</xdr:rowOff>
    </xdr:from>
    <xdr:to>
      <xdr:col>17</xdr:col>
      <xdr:colOff>161925</xdr:colOff>
      <xdr:row>23</xdr:row>
      <xdr:rowOff>86608</xdr:rowOff>
    </xdr:to>
    <xdr:cxnSp macro="">
      <xdr:nvCxnSpPr>
        <xdr:cNvPr id="12" name="Straight Arrow Connector 11">
          <a:extLst>
            <a:ext uri="{FF2B5EF4-FFF2-40B4-BE49-F238E27FC236}">
              <a16:creationId xmlns:a16="http://schemas.microsoft.com/office/drawing/2014/main" id="{2D6A079E-454A-4F1B-AE8C-8CB501CA8630}"/>
            </a:ext>
          </a:extLst>
        </xdr:cNvPr>
        <xdr:cNvCxnSpPr/>
      </xdr:nvCxnSpPr>
      <xdr:spPr>
        <a:xfrm flipH="1">
          <a:off x="9879301" y="5543550"/>
          <a:ext cx="436274" cy="210433"/>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428625</xdr:colOff>
      <xdr:row>19</xdr:row>
      <xdr:rowOff>123825</xdr:rowOff>
    </xdr:from>
    <xdr:to>
      <xdr:col>19</xdr:col>
      <xdr:colOff>188730</xdr:colOff>
      <xdr:row>22</xdr:row>
      <xdr:rowOff>66675</xdr:rowOff>
    </xdr:to>
    <xdr:sp macro="" textlink="">
      <xdr:nvSpPr>
        <xdr:cNvPr id="14" name="Text Box 2">
          <a:extLst>
            <a:ext uri="{FF2B5EF4-FFF2-40B4-BE49-F238E27FC236}">
              <a16:creationId xmlns:a16="http://schemas.microsoft.com/office/drawing/2014/main" id="{38A24036-F087-4357-BB0F-7DB40D996BA2}"/>
            </a:ext>
          </a:extLst>
        </xdr:cNvPr>
        <xdr:cNvSpPr txBox="1">
          <a:spLocks noChangeArrowheads="1"/>
        </xdr:cNvSpPr>
      </xdr:nvSpPr>
      <xdr:spPr bwMode="auto">
        <a:xfrm>
          <a:off x="9972675" y="5029200"/>
          <a:ext cx="1588905" cy="514350"/>
        </a:xfrm>
        <a:prstGeom prst="rect">
          <a:avLst/>
        </a:prstGeom>
        <a:solidFill>
          <a:schemeClr val="bg1"/>
        </a:solidFill>
        <a:ln w="9525">
          <a:solidFill>
            <a:schemeClr val="accent2"/>
          </a:solid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Associated TCE Exposures</a:t>
          </a:r>
        </a:p>
      </xdr:txBody>
    </xdr:sp>
    <xdr:clientData/>
  </xdr:twoCellAnchor>
  <xdr:twoCellAnchor>
    <xdr:from>
      <xdr:col>0</xdr:col>
      <xdr:colOff>228601</xdr:colOff>
      <xdr:row>29</xdr:row>
      <xdr:rowOff>76198</xdr:rowOff>
    </xdr:from>
    <xdr:to>
      <xdr:col>18</xdr:col>
      <xdr:colOff>95251</xdr:colOff>
      <xdr:row>38</xdr:row>
      <xdr:rowOff>161925</xdr:rowOff>
    </xdr:to>
    <xdr:sp macro="" textlink="">
      <xdr:nvSpPr>
        <xdr:cNvPr id="15" name="Rectangle 14">
          <a:extLst>
            <a:ext uri="{FF2B5EF4-FFF2-40B4-BE49-F238E27FC236}">
              <a16:creationId xmlns:a16="http://schemas.microsoft.com/office/drawing/2014/main" id="{E7A51B16-F272-4A83-8DF6-8CFDE8AB2C26}"/>
            </a:ext>
          </a:extLst>
        </xdr:cNvPr>
        <xdr:cNvSpPr/>
      </xdr:nvSpPr>
      <xdr:spPr>
        <a:xfrm>
          <a:off x="228601" y="6886573"/>
          <a:ext cx="10629900" cy="1800227"/>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17</xdr:col>
      <xdr:colOff>276225</xdr:colOff>
      <xdr:row>23</xdr:row>
      <xdr:rowOff>38100</xdr:rowOff>
    </xdr:from>
    <xdr:to>
      <xdr:col>19</xdr:col>
      <xdr:colOff>542925</xdr:colOff>
      <xdr:row>26</xdr:row>
      <xdr:rowOff>133350</xdr:rowOff>
    </xdr:to>
    <xdr:sp macro="" textlink="">
      <xdr:nvSpPr>
        <xdr:cNvPr id="16" name="Text Box 2">
          <a:extLst>
            <a:ext uri="{FF2B5EF4-FFF2-40B4-BE49-F238E27FC236}">
              <a16:creationId xmlns:a16="http://schemas.microsoft.com/office/drawing/2014/main" id="{5A5D35F6-141F-4D48-A5F3-82AE8E202C38}"/>
            </a:ext>
          </a:extLst>
        </xdr:cNvPr>
        <xdr:cNvSpPr txBox="1">
          <a:spLocks noChangeArrowheads="1"/>
        </xdr:cNvSpPr>
      </xdr:nvSpPr>
      <xdr:spPr bwMode="auto">
        <a:xfrm>
          <a:off x="10429875" y="6019800"/>
          <a:ext cx="1485900" cy="666750"/>
        </a:xfrm>
        <a:prstGeom prst="rect">
          <a:avLst/>
        </a:prstGeom>
        <a:solidFill>
          <a:schemeClr val="bg1"/>
        </a:solidFill>
        <a:ln w="9525">
          <a:solidFill>
            <a:schemeClr val="accent2"/>
          </a:solidFill>
          <a:miter lim="800000"/>
          <a:headEnd/>
          <a:tailEnd/>
        </a:ln>
      </xdr:spPr>
      <xdr:txBody>
        <a:bodyPr rot="0" vert="horz" wrap="square" lIns="91440" tIns="45720" rIns="91440" bIns="45720" anchor="t" anchorCtr="0">
          <a:noAutofit/>
        </a:bodyPr>
        <a:lstStyle/>
        <a:p>
          <a:r>
            <a:rPr lang="en-US" sz="1200" b="1">
              <a:effectLst/>
              <a:latin typeface="+mn-lt"/>
              <a:ea typeface="+mn-ea"/>
              <a:cs typeface="+mn-cs"/>
            </a:rPr>
            <a:t>Acute, Non-Cancer risk to various health endpoints.</a:t>
          </a:r>
        </a:p>
      </xdr:txBody>
    </xdr:sp>
    <xdr:clientData/>
  </xdr:twoCellAnchor>
  <xdr:twoCellAnchor>
    <xdr:from>
      <xdr:col>18</xdr:col>
      <xdr:colOff>114300</xdr:colOff>
      <xdr:row>26</xdr:row>
      <xdr:rowOff>123825</xdr:rowOff>
    </xdr:from>
    <xdr:to>
      <xdr:col>18</xdr:col>
      <xdr:colOff>581026</xdr:colOff>
      <xdr:row>29</xdr:row>
      <xdr:rowOff>76200</xdr:rowOff>
    </xdr:to>
    <xdr:cxnSp macro="">
      <xdr:nvCxnSpPr>
        <xdr:cNvPr id="17" name="Straight Arrow Connector 16">
          <a:extLst>
            <a:ext uri="{FF2B5EF4-FFF2-40B4-BE49-F238E27FC236}">
              <a16:creationId xmlns:a16="http://schemas.microsoft.com/office/drawing/2014/main" id="{1B69ADC2-4E31-4AFE-9E8E-557DCACEFC4D}"/>
            </a:ext>
          </a:extLst>
        </xdr:cNvPr>
        <xdr:cNvCxnSpPr/>
      </xdr:nvCxnSpPr>
      <xdr:spPr>
        <a:xfrm flipH="1">
          <a:off x="10877550" y="6362700"/>
          <a:ext cx="466726" cy="5238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41041</xdr:colOff>
      <xdr:row>45</xdr:row>
      <xdr:rowOff>38687</xdr:rowOff>
    </xdr:from>
    <xdr:to>
      <xdr:col>18</xdr:col>
      <xdr:colOff>600075</xdr:colOff>
      <xdr:row>62</xdr:row>
      <xdr:rowOff>169552</xdr:rowOff>
    </xdr:to>
    <xdr:pic>
      <xdr:nvPicPr>
        <xdr:cNvPr id="25" name="Picture 24">
          <a:extLst>
            <a:ext uri="{FF2B5EF4-FFF2-40B4-BE49-F238E27FC236}">
              <a16:creationId xmlns:a16="http://schemas.microsoft.com/office/drawing/2014/main" id="{C7C55D83-798B-4BCC-8BCD-59A1ED0E66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1041" y="10497137"/>
          <a:ext cx="11322284" cy="3369365"/>
        </a:xfrm>
        <a:prstGeom prst="rect">
          <a:avLst/>
        </a:prstGeom>
      </xdr:spPr>
    </xdr:pic>
    <xdr:clientData/>
  </xdr:twoCellAnchor>
  <xdr:twoCellAnchor>
    <xdr:from>
      <xdr:col>7</xdr:col>
      <xdr:colOff>104775</xdr:colOff>
      <xdr:row>46</xdr:row>
      <xdr:rowOff>83683</xdr:rowOff>
    </xdr:from>
    <xdr:to>
      <xdr:col>8</xdr:col>
      <xdr:colOff>142876</xdr:colOff>
      <xdr:row>48</xdr:row>
      <xdr:rowOff>171450</xdr:rowOff>
    </xdr:to>
    <xdr:sp macro="" textlink="">
      <xdr:nvSpPr>
        <xdr:cNvPr id="27" name="Rectangle 26">
          <a:extLst>
            <a:ext uri="{FF2B5EF4-FFF2-40B4-BE49-F238E27FC236}">
              <a16:creationId xmlns:a16="http://schemas.microsoft.com/office/drawing/2014/main" id="{17E0DE7A-A4A9-4FA2-88E6-E46D71026C83}"/>
            </a:ext>
          </a:extLst>
        </xdr:cNvPr>
        <xdr:cNvSpPr/>
      </xdr:nvSpPr>
      <xdr:spPr>
        <a:xfrm>
          <a:off x="4162425" y="10732633"/>
          <a:ext cx="647701" cy="468767"/>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8</xdr:col>
      <xdr:colOff>514351</xdr:colOff>
      <xdr:row>46</xdr:row>
      <xdr:rowOff>133349</xdr:rowOff>
    </xdr:from>
    <xdr:to>
      <xdr:col>11</xdr:col>
      <xdr:colOff>85725</xdr:colOff>
      <xdr:row>48</xdr:row>
      <xdr:rowOff>19050</xdr:rowOff>
    </xdr:to>
    <xdr:sp macro="" textlink="">
      <xdr:nvSpPr>
        <xdr:cNvPr id="28" name="Text Box 2">
          <a:extLst>
            <a:ext uri="{FF2B5EF4-FFF2-40B4-BE49-F238E27FC236}">
              <a16:creationId xmlns:a16="http://schemas.microsoft.com/office/drawing/2014/main" id="{4EEFCA63-5F2B-441A-9403-BAF24D3C7E4B}"/>
            </a:ext>
          </a:extLst>
        </xdr:cNvPr>
        <xdr:cNvSpPr txBox="1">
          <a:spLocks noChangeArrowheads="1"/>
        </xdr:cNvSpPr>
      </xdr:nvSpPr>
      <xdr:spPr bwMode="auto">
        <a:xfrm>
          <a:off x="5181601" y="10782299"/>
          <a:ext cx="1400174" cy="266701"/>
        </a:xfrm>
        <a:prstGeom prst="rect">
          <a:avLst/>
        </a:prstGeom>
        <a:solidFill>
          <a:schemeClr val="bg1"/>
        </a:solidFill>
        <a:ln w="9525">
          <a:solidFill>
            <a:schemeClr val="accent2"/>
          </a:solidFill>
          <a:miter lim="800000"/>
          <a:headEnd/>
          <a:tailEnd/>
        </a:ln>
      </xdr:spPr>
      <xdr:txBody>
        <a:bodyPr rot="0" vert="horz" wrap="square" lIns="91440" tIns="45720" rIns="91440" bIns="45720" anchor="t" anchorCtr="0">
          <a:noAutofit/>
        </a:bodyPr>
        <a:lstStyle/>
        <a:p>
          <a:r>
            <a:rPr lang="en-US" sz="1200" b="1">
              <a:effectLst/>
              <a:latin typeface="+mn-lt"/>
              <a:ea typeface="+mn-ea"/>
              <a:cs typeface="+mn-cs"/>
            </a:rPr>
            <a:t>User Selection Box</a:t>
          </a:r>
        </a:p>
      </xdr:txBody>
    </xdr:sp>
    <xdr:clientData/>
  </xdr:twoCellAnchor>
  <xdr:twoCellAnchor>
    <xdr:from>
      <xdr:col>8</xdr:col>
      <xdr:colOff>142877</xdr:colOff>
      <xdr:row>47</xdr:row>
      <xdr:rowOff>85725</xdr:rowOff>
    </xdr:from>
    <xdr:to>
      <xdr:col>8</xdr:col>
      <xdr:colOff>514352</xdr:colOff>
      <xdr:row>47</xdr:row>
      <xdr:rowOff>104775</xdr:rowOff>
    </xdr:to>
    <xdr:cxnSp macro="">
      <xdr:nvCxnSpPr>
        <xdr:cNvPr id="29" name="Straight Arrow Connector 28">
          <a:extLst>
            <a:ext uri="{FF2B5EF4-FFF2-40B4-BE49-F238E27FC236}">
              <a16:creationId xmlns:a16="http://schemas.microsoft.com/office/drawing/2014/main" id="{E4BFE707-5F2F-4D2D-952A-B7320277FF29}"/>
            </a:ext>
          </a:extLst>
        </xdr:cNvPr>
        <xdr:cNvCxnSpPr/>
      </xdr:nvCxnSpPr>
      <xdr:spPr>
        <a:xfrm flipH="1">
          <a:off x="4810127" y="10925175"/>
          <a:ext cx="371475" cy="190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495300</xdr:colOff>
      <xdr:row>55</xdr:row>
      <xdr:rowOff>142875</xdr:rowOff>
    </xdr:from>
    <xdr:to>
      <xdr:col>19</xdr:col>
      <xdr:colOff>19049</xdr:colOff>
      <xdr:row>63</xdr:row>
      <xdr:rowOff>85725</xdr:rowOff>
    </xdr:to>
    <xdr:sp macro="" textlink="">
      <xdr:nvSpPr>
        <xdr:cNvPr id="31" name="Rectangle 30">
          <a:extLst>
            <a:ext uri="{FF2B5EF4-FFF2-40B4-BE49-F238E27FC236}">
              <a16:creationId xmlns:a16="http://schemas.microsoft.com/office/drawing/2014/main" id="{E7244653-799B-4EAE-AC47-FE2B30130D2B}"/>
            </a:ext>
          </a:extLst>
        </xdr:cNvPr>
        <xdr:cNvSpPr/>
      </xdr:nvSpPr>
      <xdr:spPr>
        <a:xfrm>
          <a:off x="9429750" y="12506325"/>
          <a:ext cx="1962149" cy="1466850"/>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7</xdr:col>
      <xdr:colOff>114300</xdr:colOff>
      <xdr:row>55</xdr:row>
      <xdr:rowOff>142875</xdr:rowOff>
    </xdr:from>
    <xdr:to>
      <xdr:col>13</xdr:col>
      <xdr:colOff>57149</xdr:colOff>
      <xdr:row>63</xdr:row>
      <xdr:rowOff>95251</xdr:rowOff>
    </xdr:to>
    <xdr:sp macro="" textlink="">
      <xdr:nvSpPr>
        <xdr:cNvPr id="32" name="Rectangle 31">
          <a:extLst>
            <a:ext uri="{FF2B5EF4-FFF2-40B4-BE49-F238E27FC236}">
              <a16:creationId xmlns:a16="http://schemas.microsoft.com/office/drawing/2014/main" id="{CC0203AB-89FE-4BF7-914B-80A013C8B1DE}"/>
            </a:ext>
          </a:extLst>
        </xdr:cNvPr>
        <xdr:cNvSpPr/>
      </xdr:nvSpPr>
      <xdr:spPr>
        <a:xfrm>
          <a:off x="4171950" y="12506325"/>
          <a:ext cx="3600449" cy="1476376"/>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12</xdr:col>
      <xdr:colOff>114298</xdr:colOff>
      <xdr:row>64</xdr:row>
      <xdr:rowOff>152400</xdr:rowOff>
    </xdr:from>
    <xdr:to>
      <xdr:col>16</xdr:col>
      <xdr:colOff>323849</xdr:colOff>
      <xdr:row>67</xdr:row>
      <xdr:rowOff>38100</xdr:rowOff>
    </xdr:to>
    <xdr:sp macro="" textlink="">
      <xdr:nvSpPr>
        <xdr:cNvPr id="33" name="Text Box 2">
          <a:extLst>
            <a:ext uri="{FF2B5EF4-FFF2-40B4-BE49-F238E27FC236}">
              <a16:creationId xmlns:a16="http://schemas.microsoft.com/office/drawing/2014/main" id="{FAC06580-5C42-4927-AAEB-3D7DAF95B1C5}"/>
            </a:ext>
          </a:extLst>
        </xdr:cNvPr>
        <xdr:cNvSpPr txBox="1">
          <a:spLocks noChangeArrowheads="1"/>
        </xdr:cNvSpPr>
      </xdr:nvSpPr>
      <xdr:spPr bwMode="auto">
        <a:xfrm>
          <a:off x="7219948" y="14230350"/>
          <a:ext cx="2647951" cy="457200"/>
        </a:xfrm>
        <a:prstGeom prst="rect">
          <a:avLst/>
        </a:prstGeom>
        <a:solidFill>
          <a:schemeClr val="bg1"/>
        </a:solidFill>
        <a:ln w="9525">
          <a:solidFill>
            <a:schemeClr val="accent2"/>
          </a:solidFill>
          <a:miter lim="800000"/>
          <a:headEnd/>
          <a:tailEnd/>
        </a:ln>
      </xdr:spPr>
      <xdr:txBody>
        <a:bodyPr rot="0" vert="horz" wrap="square" lIns="91440" tIns="45720" rIns="91440" bIns="45720" anchor="t" anchorCtr="0">
          <a:noAutofit/>
        </a:bodyPr>
        <a:lstStyle/>
        <a:p>
          <a:r>
            <a:rPr lang="en-US" sz="1200" b="1">
              <a:effectLst/>
              <a:latin typeface="+mn-lt"/>
              <a:ea typeface="+mn-ea"/>
              <a:cs typeface="+mn-cs"/>
            </a:rPr>
            <a:t>Gradations of PPE protection factors displayed across health endpoints.</a:t>
          </a:r>
        </a:p>
      </xdr:txBody>
    </xdr:sp>
    <xdr:clientData/>
  </xdr:twoCellAnchor>
  <xdr:twoCellAnchor>
    <xdr:from>
      <xdr:col>15</xdr:col>
      <xdr:colOff>314324</xdr:colOff>
      <xdr:row>63</xdr:row>
      <xdr:rowOff>95250</xdr:rowOff>
    </xdr:from>
    <xdr:to>
      <xdr:col>16</xdr:col>
      <xdr:colOff>142875</xdr:colOff>
      <xdr:row>64</xdr:row>
      <xdr:rowOff>158751</xdr:rowOff>
    </xdr:to>
    <xdr:cxnSp macro="">
      <xdr:nvCxnSpPr>
        <xdr:cNvPr id="34" name="Straight Arrow Connector 33">
          <a:extLst>
            <a:ext uri="{FF2B5EF4-FFF2-40B4-BE49-F238E27FC236}">
              <a16:creationId xmlns:a16="http://schemas.microsoft.com/office/drawing/2014/main" id="{B1D1CBCB-4025-429D-8DB9-4A7422F6DDF7}"/>
            </a:ext>
          </a:extLst>
        </xdr:cNvPr>
        <xdr:cNvCxnSpPr/>
      </xdr:nvCxnSpPr>
      <xdr:spPr>
        <a:xfrm flipV="1">
          <a:off x="9248774" y="13982700"/>
          <a:ext cx="438151" cy="25400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333375</xdr:colOff>
      <xdr:row>63</xdr:row>
      <xdr:rowOff>95250</xdr:rowOff>
    </xdr:from>
    <xdr:to>
      <xdr:col>12</xdr:col>
      <xdr:colOff>542926</xdr:colOff>
      <xdr:row>64</xdr:row>
      <xdr:rowOff>149226</xdr:rowOff>
    </xdr:to>
    <xdr:cxnSp macro="">
      <xdr:nvCxnSpPr>
        <xdr:cNvPr id="36" name="Straight Arrow Connector 35">
          <a:extLst>
            <a:ext uri="{FF2B5EF4-FFF2-40B4-BE49-F238E27FC236}">
              <a16:creationId xmlns:a16="http://schemas.microsoft.com/office/drawing/2014/main" id="{1C1E1A51-9DEB-431F-9E3A-591237B47EBC}"/>
            </a:ext>
          </a:extLst>
        </xdr:cNvPr>
        <xdr:cNvCxnSpPr/>
      </xdr:nvCxnSpPr>
      <xdr:spPr>
        <a:xfrm flipH="1" flipV="1">
          <a:off x="7439025" y="13982700"/>
          <a:ext cx="209551" cy="244476"/>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60</xdr:row>
      <xdr:rowOff>186524</xdr:rowOff>
    </xdr:from>
    <xdr:to>
      <xdr:col>7</xdr:col>
      <xdr:colOff>797719</xdr:colOff>
      <xdr:row>84</xdr:row>
      <xdr:rowOff>161587</xdr:rowOff>
    </xdr:to>
    <xdr:graphicFrame macro="">
      <xdr:nvGraphicFramePr>
        <xdr:cNvPr id="5" name="Chart 4">
          <a:extLst>
            <a:ext uri="{FF2B5EF4-FFF2-40B4-BE49-F238E27FC236}">
              <a16:creationId xmlns:a16="http://schemas.microsoft.com/office/drawing/2014/main" id="{832C5013-7CF2-45A4-949B-A8188FC12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174624</xdr:colOff>
      <xdr:row>61</xdr:row>
      <xdr:rowOff>3175</xdr:rowOff>
    </xdr:from>
    <xdr:to>
      <xdr:col>16</xdr:col>
      <xdr:colOff>309562</xdr:colOff>
      <xdr:row>84</xdr:row>
      <xdr:rowOff>59531</xdr:rowOff>
    </xdr:to>
    <xdr:graphicFrame macro="">
      <xdr:nvGraphicFramePr>
        <xdr:cNvPr id="6" name="Chart 5">
          <a:extLst>
            <a:ext uri="{FF2B5EF4-FFF2-40B4-BE49-F238E27FC236}">
              <a16:creationId xmlns:a16="http://schemas.microsoft.com/office/drawing/2014/main" id="{5450647A-DEC4-4ED8-8D15-70F15800E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57</xdr:row>
      <xdr:rowOff>161124</xdr:rowOff>
    </xdr:from>
    <xdr:to>
      <xdr:col>13</xdr:col>
      <xdr:colOff>428625</xdr:colOff>
      <xdr:row>78</xdr:row>
      <xdr:rowOff>83344</xdr:rowOff>
    </xdr:to>
    <xdr:graphicFrame macro="">
      <xdr:nvGraphicFramePr>
        <xdr:cNvPr id="2" name="Chart 1">
          <a:extLst>
            <a:ext uri="{FF2B5EF4-FFF2-40B4-BE49-F238E27FC236}">
              <a16:creationId xmlns:a16="http://schemas.microsoft.com/office/drawing/2014/main" id="{8CB4247C-332E-4763-97FF-EFEB2DD09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15874</xdr:colOff>
      <xdr:row>57</xdr:row>
      <xdr:rowOff>161926</xdr:rowOff>
    </xdr:from>
    <xdr:to>
      <xdr:col>24</xdr:col>
      <xdr:colOff>785811</xdr:colOff>
      <xdr:row>78</xdr:row>
      <xdr:rowOff>82211</xdr:rowOff>
    </xdr:to>
    <xdr:graphicFrame macro="">
      <xdr:nvGraphicFramePr>
        <xdr:cNvPr id="3" name="Chart 2">
          <a:extLst>
            <a:ext uri="{FF2B5EF4-FFF2-40B4-BE49-F238E27FC236}">
              <a16:creationId xmlns:a16="http://schemas.microsoft.com/office/drawing/2014/main" id="{602F6EB5-1B54-42FD-9799-5710EB37B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51593</xdr:colOff>
      <xdr:row>1</xdr:row>
      <xdr:rowOff>-1</xdr:rowOff>
    </xdr:from>
    <xdr:to>
      <xdr:col>5</xdr:col>
      <xdr:colOff>690561</xdr:colOff>
      <xdr:row>6</xdr:row>
      <xdr:rowOff>35718</xdr:rowOff>
    </xdr:to>
    <xdr:sp macro="" textlink="">
      <xdr:nvSpPr>
        <xdr:cNvPr id="4" name="TextBox 3">
          <a:extLst>
            <a:ext uri="{FF2B5EF4-FFF2-40B4-BE49-F238E27FC236}">
              <a16:creationId xmlns:a16="http://schemas.microsoft.com/office/drawing/2014/main" id="{2C23DA81-FB55-437E-9302-C2E02213CA4A}"/>
            </a:ext>
          </a:extLst>
        </xdr:cNvPr>
        <xdr:cNvSpPr txBox="1"/>
      </xdr:nvSpPr>
      <xdr:spPr>
        <a:xfrm>
          <a:off x="206374" y="166687"/>
          <a:ext cx="4127500" cy="1023937"/>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a:t>Key</a:t>
          </a:r>
          <a:endParaRPr lang="en-US" sz="1000"/>
        </a:p>
        <a:p>
          <a:r>
            <a:rPr lang="en-US" sz="1000"/>
            <a:t>             =  </a:t>
          </a:r>
          <a:r>
            <a:rPr lang="en-US" sz="1000">
              <a:solidFill>
                <a:srgbClr val="FF0000"/>
              </a:solidFill>
            </a:rPr>
            <a:t>Risk</a:t>
          </a:r>
          <a:r>
            <a:rPr lang="en-US" sz="1000"/>
            <a:t>.  </a:t>
          </a:r>
          <a:r>
            <a:rPr lang="en-US" sz="1000" baseline="0"/>
            <a:t>       </a:t>
          </a:r>
          <a:r>
            <a:rPr lang="en-US" sz="1000" i="1"/>
            <a:t>MOE</a:t>
          </a:r>
          <a:r>
            <a:rPr lang="en-US" sz="1000" i="1" baseline="-25000"/>
            <a:t>acute or chronic</a:t>
          </a:r>
          <a:r>
            <a:rPr lang="en-US" sz="1000" i="1" baseline="0"/>
            <a:t> &lt; MOE</a:t>
          </a:r>
          <a:r>
            <a:rPr lang="en-US" sz="1000" i="1" baseline="-25000"/>
            <a:t>benchmark</a:t>
          </a:r>
          <a:endParaRPr lang="en-US" sz="1000" i="0" baseline="0"/>
        </a:p>
        <a:p>
          <a:r>
            <a:rPr lang="en-US" sz="1000" i="0" baseline="0"/>
            <a:t>                                  </a:t>
          </a:r>
          <a:r>
            <a:rPr lang="en-US" sz="1000" i="1" baseline="0"/>
            <a:t>Cancer Risk &gt; Benchmark Cancer Risk Level</a:t>
          </a:r>
        </a:p>
        <a:p>
          <a:endParaRPr lang="en-US" sz="1000" i="1" baseline="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             =  </a:t>
          </a:r>
          <a:r>
            <a:rPr lang="en-US" sz="1000">
              <a:solidFill>
                <a:srgbClr val="339933"/>
              </a:solidFill>
              <a:latin typeface="+mn-lt"/>
              <a:ea typeface="+mn-ea"/>
              <a:cs typeface="+mn-cs"/>
            </a:rPr>
            <a:t>No Risk</a:t>
          </a:r>
          <a:r>
            <a:rPr lang="en-US" sz="1000">
              <a:solidFill>
                <a:schemeClr val="dk1"/>
              </a:solidFill>
              <a:latin typeface="+mn-lt"/>
              <a:ea typeface="+mn-ea"/>
              <a:cs typeface="+mn-cs"/>
            </a:rPr>
            <a:t>.   </a:t>
          </a:r>
          <a:r>
            <a:rPr lang="en-US" sz="1000" i="1">
              <a:solidFill>
                <a:schemeClr val="dk1"/>
              </a:solidFill>
              <a:latin typeface="+mn-lt"/>
              <a:ea typeface="+mn-ea"/>
              <a:cs typeface="+mn-cs"/>
            </a:rPr>
            <a:t>MOE</a:t>
          </a:r>
          <a:r>
            <a:rPr lang="en-US" sz="1000" i="1" baseline="-25000">
              <a:solidFill>
                <a:schemeClr val="dk1"/>
              </a:solidFill>
              <a:latin typeface="+mn-lt"/>
              <a:ea typeface="+mn-ea"/>
              <a:cs typeface="+mn-cs"/>
            </a:rPr>
            <a:t>acute or chronic</a:t>
          </a:r>
          <a:r>
            <a:rPr lang="en-US" sz="1000" i="1" baseline="0">
              <a:solidFill>
                <a:schemeClr val="dk1"/>
              </a:solidFill>
              <a:latin typeface="+mn-lt"/>
              <a:ea typeface="+mn-ea"/>
              <a:cs typeface="+mn-cs"/>
            </a:rPr>
            <a:t> ≥ MOE</a:t>
          </a:r>
          <a:r>
            <a:rPr lang="en-US" sz="1000" i="1" baseline="-25000">
              <a:solidFill>
                <a:schemeClr val="dk1"/>
              </a:solidFill>
              <a:latin typeface="+mn-lt"/>
              <a:ea typeface="+mn-ea"/>
              <a:cs typeface="+mn-cs"/>
            </a:rPr>
            <a:t>benchmark</a:t>
          </a:r>
          <a:endParaRPr lang="en-US" sz="100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latin typeface="+mn-lt"/>
              <a:ea typeface="+mn-ea"/>
              <a:cs typeface="+mn-cs"/>
            </a:rPr>
            <a:t>                                  </a:t>
          </a:r>
          <a:r>
            <a:rPr lang="en-US" sz="1000" i="1" baseline="0">
              <a:solidFill>
                <a:schemeClr val="dk1"/>
              </a:solidFill>
              <a:latin typeface="+mn-lt"/>
              <a:ea typeface="+mn-ea"/>
              <a:cs typeface="+mn-cs"/>
            </a:rPr>
            <a:t>Cancer Risk ≤ Benchmark Cancer Risk Level</a:t>
          </a:r>
          <a:endParaRPr lang="en-US" sz="1000" i="1">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57</xdr:row>
      <xdr:rowOff>161124</xdr:rowOff>
    </xdr:from>
    <xdr:to>
      <xdr:col>13</xdr:col>
      <xdr:colOff>428625</xdr:colOff>
      <xdr:row>78</xdr:row>
      <xdr:rowOff>83344</xdr:rowOff>
    </xdr:to>
    <xdr:graphicFrame macro="">
      <xdr:nvGraphicFramePr>
        <xdr:cNvPr id="2" name="Chart 1">
          <a:extLst>
            <a:ext uri="{FF2B5EF4-FFF2-40B4-BE49-F238E27FC236}">
              <a16:creationId xmlns:a16="http://schemas.microsoft.com/office/drawing/2014/main" id="{6FF77C12-6D0E-4A12-9CA2-CB2097133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15874</xdr:colOff>
      <xdr:row>57</xdr:row>
      <xdr:rowOff>161926</xdr:rowOff>
    </xdr:from>
    <xdr:to>
      <xdr:col>24</xdr:col>
      <xdr:colOff>785811</xdr:colOff>
      <xdr:row>78</xdr:row>
      <xdr:rowOff>82211</xdr:rowOff>
    </xdr:to>
    <xdr:graphicFrame macro="">
      <xdr:nvGraphicFramePr>
        <xdr:cNvPr id="3" name="Chart 2">
          <a:extLst>
            <a:ext uri="{FF2B5EF4-FFF2-40B4-BE49-F238E27FC236}">
              <a16:creationId xmlns:a16="http://schemas.microsoft.com/office/drawing/2014/main" id="{1CE8D611-8115-49B5-82B2-B5D917E65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111124</xdr:colOff>
      <xdr:row>1</xdr:row>
      <xdr:rowOff>47624</xdr:rowOff>
    </xdr:from>
    <xdr:to>
      <xdr:col>5</xdr:col>
      <xdr:colOff>750092</xdr:colOff>
      <xdr:row>6</xdr:row>
      <xdr:rowOff>71437</xdr:rowOff>
    </xdr:to>
    <xdr:sp macro="" textlink="">
      <xdr:nvSpPr>
        <xdr:cNvPr id="4" name="TextBox 3">
          <a:extLst>
            <a:ext uri="{FF2B5EF4-FFF2-40B4-BE49-F238E27FC236}">
              <a16:creationId xmlns:a16="http://schemas.microsoft.com/office/drawing/2014/main" id="{69E6C898-93CF-45BD-B08E-2717BC002BC4}"/>
            </a:ext>
          </a:extLst>
        </xdr:cNvPr>
        <xdr:cNvSpPr txBox="1"/>
      </xdr:nvSpPr>
      <xdr:spPr>
        <a:xfrm>
          <a:off x="263524" y="685799"/>
          <a:ext cx="4125118" cy="117633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a:t>Key</a:t>
          </a:r>
          <a:endParaRPr lang="en-US" sz="1000"/>
        </a:p>
        <a:p>
          <a:r>
            <a:rPr lang="en-US" sz="1000"/>
            <a:t>             =  </a:t>
          </a:r>
          <a:r>
            <a:rPr lang="en-US" sz="1000">
              <a:solidFill>
                <a:srgbClr val="FF0000"/>
              </a:solidFill>
            </a:rPr>
            <a:t>Risk</a:t>
          </a:r>
          <a:r>
            <a:rPr lang="en-US" sz="1000"/>
            <a:t>.  </a:t>
          </a:r>
          <a:r>
            <a:rPr lang="en-US" sz="1000" baseline="0"/>
            <a:t>       </a:t>
          </a:r>
          <a:r>
            <a:rPr lang="en-US" sz="1000" i="1"/>
            <a:t>MOE</a:t>
          </a:r>
          <a:r>
            <a:rPr lang="en-US" sz="1000" i="1" baseline="-25000"/>
            <a:t>acute or chronic</a:t>
          </a:r>
          <a:r>
            <a:rPr lang="en-US" sz="1000" i="1" baseline="0"/>
            <a:t> &lt; MOE</a:t>
          </a:r>
          <a:r>
            <a:rPr lang="en-US" sz="1000" i="1" baseline="-25000"/>
            <a:t>benchmark</a:t>
          </a:r>
          <a:endParaRPr lang="en-US" sz="1000" i="0" baseline="0"/>
        </a:p>
        <a:p>
          <a:r>
            <a:rPr lang="en-US" sz="1000" i="0" baseline="0"/>
            <a:t>                                  </a:t>
          </a:r>
          <a:r>
            <a:rPr lang="en-US" sz="1000" i="1" baseline="0"/>
            <a:t>Cancer Risk &gt; Benchmark Cancer Risk Level</a:t>
          </a:r>
        </a:p>
        <a:p>
          <a:endParaRPr lang="en-US" sz="1000" i="1" baseline="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             =  </a:t>
          </a:r>
          <a:r>
            <a:rPr lang="en-US" sz="1000">
              <a:solidFill>
                <a:srgbClr val="339933"/>
              </a:solidFill>
              <a:latin typeface="+mn-lt"/>
              <a:ea typeface="+mn-ea"/>
              <a:cs typeface="+mn-cs"/>
            </a:rPr>
            <a:t>No Risk</a:t>
          </a:r>
          <a:r>
            <a:rPr lang="en-US" sz="1000">
              <a:solidFill>
                <a:schemeClr val="dk1"/>
              </a:solidFill>
              <a:latin typeface="+mn-lt"/>
              <a:ea typeface="+mn-ea"/>
              <a:cs typeface="+mn-cs"/>
            </a:rPr>
            <a:t>.   </a:t>
          </a:r>
          <a:r>
            <a:rPr lang="en-US" sz="1000" i="1">
              <a:solidFill>
                <a:schemeClr val="dk1"/>
              </a:solidFill>
              <a:latin typeface="+mn-lt"/>
              <a:ea typeface="+mn-ea"/>
              <a:cs typeface="+mn-cs"/>
            </a:rPr>
            <a:t>MOE</a:t>
          </a:r>
          <a:r>
            <a:rPr lang="en-US" sz="1000" i="1" baseline="-25000">
              <a:solidFill>
                <a:schemeClr val="dk1"/>
              </a:solidFill>
              <a:latin typeface="+mn-lt"/>
              <a:ea typeface="+mn-ea"/>
              <a:cs typeface="+mn-cs"/>
            </a:rPr>
            <a:t>acute or chronic</a:t>
          </a:r>
          <a:r>
            <a:rPr lang="en-US" sz="1000" i="1" baseline="0">
              <a:solidFill>
                <a:schemeClr val="dk1"/>
              </a:solidFill>
              <a:latin typeface="+mn-lt"/>
              <a:ea typeface="+mn-ea"/>
              <a:cs typeface="+mn-cs"/>
            </a:rPr>
            <a:t> ≥ MOE</a:t>
          </a:r>
          <a:r>
            <a:rPr lang="en-US" sz="1000" i="1" baseline="-25000">
              <a:solidFill>
                <a:schemeClr val="dk1"/>
              </a:solidFill>
              <a:latin typeface="+mn-lt"/>
              <a:ea typeface="+mn-ea"/>
              <a:cs typeface="+mn-cs"/>
            </a:rPr>
            <a:t>benchmark</a:t>
          </a:r>
          <a:endParaRPr lang="en-US" sz="100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i="0" baseline="0">
              <a:solidFill>
                <a:schemeClr val="dk1"/>
              </a:solidFill>
              <a:latin typeface="+mn-lt"/>
              <a:ea typeface="+mn-ea"/>
              <a:cs typeface="+mn-cs"/>
            </a:rPr>
            <a:t>                                  </a:t>
          </a:r>
          <a:r>
            <a:rPr lang="en-US" sz="1000" i="1" baseline="0">
              <a:solidFill>
                <a:schemeClr val="dk1"/>
              </a:solidFill>
              <a:latin typeface="+mn-lt"/>
              <a:ea typeface="+mn-ea"/>
              <a:cs typeface="+mn-cs"/>
            </a:rPr>
            <a:t>Cancer Risk ≤ Benchmark Cancer Risk Level</a:t>
          </a:r>
          <a:endParaRPr lang="en-US" sz="1000" i="1">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DA512-41F3-4A16-856F-5470587A001F}">
  <dimension ref="B2:B8"/>
  <sheetViews>
    <sheetView workbookViewId="0">
      <selection activeCell="B9" sqref="B9"/>
    </sheetView>
  </sheetViews>
  <sheetFormatPr defaultRowHeight="14.5" x14ac:dyDescent="0.35"/>
  <cols>
    <col min="2" max="2" width="84.81640625" customWidth="1"/>
  </cols>
  <sheetData>
    <row r="2" spans="2:2" ht="20.25" customHeight="1" x14ac:dyDescent="0.35">
      <c r="B2" s="578" t="s">
        <v>0</v>
      </c>
    </row>
    <row r="3" spans="2:2" ht="20.25" customHeight="1" x14ac:dyDescent="0.35">
      <c r="B3" s="578"/>
    </row>
    <row r="4" spans="2:2" ht="20.25" customHeight="1" x14ac:dyDescent="0.35">
      <c r="B4" s="578"/>
    </row>
    <row r="5" spans="2:2" ht="20.25" customHeight="1" x14ac:dyDescent="0.35">
      <c r="B5" s="578"/>
    </row>
    <row r="6" spans="2:2" ht="40.5" customHeight="1" x14ac:dyDescent="0.35">
      <c r="B6" s="578"/>
    </row>
    <row r="7" spans="2:2" ht="20.25" customHeight="1" x14ac:dyDescent="0.35">
      <c r="B7" s="578"/>
    </row>
    <row r="8" spans="2:2" ht="20.25" customHeight="1" x14ac:dyDescent="0.35">
      <c r="B8" s="578"/>
    </row>
  </sheetData>
  <mergeCells count="1">
    <mergeCell ref="B2:B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6"/>
  <sheetViews>
    <sheetView zoomScale="80" zoomScaleNormal="80" workbookViewId="0">
      <selection activeCell="I58" sqref="I58"/>
    </sheetView>
  </sheetViews>
  <sheetFormatPr defaultColWidth="9.1796875" defaultRowHeight="14.5" x14ac:dyDescent="0.35"/>
  <cols>
    <col min="1" max="1" width="2.54296875" style="23" customWidth="1"/>
    <col min="2" max="2" width="14.7265625" style="23" bestFit="1" customWidth="1"/>
    <col min="3" max="3" width="48" style="20" bestFit="1" customWidth="1"/>
    <col min="4" max="4" width="12.81640625" style="23" customWidth="1"/>
    <col min="5" max="5" width="10.81640625" style="23" bestFit="1" customWidth="1"/>
    <col min="6" max="6" width="13.26953125" style="23" bestFit="1" customWidth="1"/>
    <col min="7" max="7" width="10.81640625" style="23" customWidth="1"/>
    <col min="8" max="11" width="17.81640625" style="23" bestFit="1" customWidth="1"/>
    <col min="12" max="13" width="17.453125" style="23" bestFit="1" customWidth="1"/>
    <col min="14" max="15" width="17.81640625" style="23" bestFit="1" customWidth="1"/>
    <col min="16" max="17" width="17.453125" style="23" bestFit="1" customWidth="1"/>
    <col min="18" max="18" width="13" customWidth="1"/>
    <col min="19" max="19" width="13.7265625" customWidth="1"/>
    <col min="20" max="20" width="14.26953125" style="23" customWidth="1"/>
    <col min="21" max="21" width="46.453125" style="23" customWidth="1"/>
    <col min="22" max="22" width="27.26953125" style="23" bestFit="1" customWidth="1"/>
    <col min="23" max="23" width="16.54296875" style="23" customWidth="1"/>
    <col min="24" max="24" width="17.26953125" style="20" customWidth="1"/>
    <col min="25" max="25" width="22" style="23" customWidth="1"/>
    <col min="26" max="16384" width="9.1796875" style="23"/>
  </cols>
  <sheetData>
    <row r="1" spans="2:23" ht="39" x14ac:dyDescent="0.3">
      <c r="B1" s="223"/>
      <c r="C1" s="224"/>
      <c r="D1" s="224"/>
      <c r="E1" s="224"/>
      <c r="F1" s="324" t="s">
        <v>319</v>
      </c>
      <c r="G1" s="325"/>
      <c r="H1" s="760" t="s">
        <v>320</v>
      </c>
      <c r="I1" s="761"/>
      <c r="J1" s="760" t="s">
        <v>70</v>
      </c>
      <c r="K1" s="761"/>
      <c r="L1" s="754" t="s">
        <v>321</v>
      </c>
      <c r="M1" s="755"/>
      <c r="N1" s="760" t="s">
        <v>72</v>
      </c>
      <c r="O1" s="761"/>
      <c r="P1" s="754" t="s">
        <v>322</v>
      </c>
      <c r="Q1" s="755"/>
      <c r="R1" s="760" t="s">
        <v>74</v>
      </c>
      <c r="S1" s="761"/>
      <c r="T1" s="224"/>
      <c r="U1" s="224"/>
      <c r="V1" s="225"/>
      <c r="W1" s="468"/>
    </row>
    <row r="2" spans="2:23" ht="12.75" customHeight="1" x14ac:dyDescent="0.3">
      <c r="B2" s="226"/>
      <c r="C2" s="227"/>
      <c r="D2" s="227"/>
      <c r="E2" s="227"/>
      <c r="F2" s="326"/>
      <c r="G2" s="327"/>
      <c r="H2" s="758" t="s">
        <v>323</v>
      </c>
      <c r="I2" s="759"/>
      <c r="J2" s="758" t="s">
        <v>324</v>
      </c>
      <c r="K2" s="759"/>
      <c r="L2" s="756" t="s">
        <v>325</v>
      </c>
      <c r="M2" s="757"/>
      <c r="N2" s="758" t="s">
        <v>326</v>
      </c>
      <c r="O2" s="759"/>
      <c r="P2" s="756" t="s">
        <v>83</v>
      </c>
      <c r="Q2" s="757"/>
      <c r="R2" s="758" t="s">
        <v>327</v>
      </c>
      <c r="S2" s="759"/>
      <c r="T2" s="227"/>
      <c r="U2" s="227"/>
      <c r="V2" s="228"/>
      <c r="W2" s="21"/>
    </row>
    <row r="3" spans="2:23" ht="26.5" thickBot="1" x14ac:dyDescent="0.35">
      <c r="B3" s="311" t="s">
        <v>328</v>
      </c>
      <c r="C3" s="312" t="s">
        <v>52</v>
      </c>
      <c r="D3" s="312" t="s">
        <v>67</v>
      </c>
      <c r="E3" s="312" t="s">
        <v>329</v>
      </c>
      <c r="F3" s="313" t="s">
        <v>89</v>
      </c>
      <c r="G3" s="313" t="s">
        <v>92</v>
      </c>
      <c r="H3" s="313" t="s">
        <v>330</v>
      </c>
      <c r="I3" s="313" t="s">
        <v>331</v>
      </c>
      <c r="J3" s="313" t="s">
        <v>330</v>
      </c>
      <c r="K3" s="313" t="s">
        <v>331</v>
      </c>
      <c r="L3" s="479" t="s">
        <v>330</v>
      </c>
      <c r="M3" s="479" t="s">
        <v>331</v>
      </c>
      <c r="N3" s="313" t="s">
        <v>330</v>
      </c>
      <c r="O3" s="313" t="s">
        <v>331</v>
      </c>
      <c r="P3" s="479" t="s">
        <v>330</v>
      </c>
      <c r="Q3" s="479" t="s">
        <v>331</v>
      </c>
      <c r="R3" s="313" t="s">
        <v>330</v>
      </c>
      <c r="S3" s="313" t="s">
        <v>331</v>
      </c>
      <c r="T3" s="312" t="s">
        <v>332</v>
      </c>
      <c r="U3" s="312" t="s">
        <v>333</v>
      </c>
      <c r="V3" s="314" t="s">
        <v>163</v>
      </c>
      <c r="W3" s="21"/>
    </row>
    <row r="4" spans="2:23" ht="13" x14ac:dyDescent="0.3">
      <c r="B4" s="315" t="s">
        <v>334</v>
      </c>
      <c r="C4" s="273" t="s">
        <v>296</v>
      </c>
      <c r="D4" s="380" t="s">
        <v>91</v>
      </c>
      <c r="E4" s="271" t="s">
        <v>335</v>
      </c>
      <c r="F4" s="271">
        <v>250</v>
      </c>
      <c r="G4" s="271">
        <v>250</v>
      </c>
      <c r="H4" s="268">
        <v>1</v>
      </c>
      <c r="I4" s="268">
        <v>0.94114583333333357</v>
      </c>
      <c r="J4" s="404">
        <f t="shared" ref="J4:J23" si="0">IFERROR((H4*IF(E4="8-hr",ED_8,ED_12)/AT),"--")</f>
        <v>0.33333333333333331</v>
      </c>
      <c r="K4" s="404">
        <f t="shared" ref="K4:K23" si="1">IFERROR((I4*IF(E4="8-hr",ED_8,ED_12)/AT),"--")</f>
        <v>0.31371527777777786</v>
      </c>
      <c r="L4" s="496">
        <f t="shared" ref="L4:L47" si="2">IFERROR((H4*IF(E4="8-hr",ED_8,ED_12)/IF(E4="8-hr",ED_8,ED_12)),"--")</f>
        <v>1</v>
      </c>
      <c r="M4" s="496">
        <f t="shared" ref="M4:M47" si="3">IFERROR((I4*IF(E4="8-hr",ED_8,ED_12)/IF(E4="8-hr",ED_8,ED_12)),"--")</f>
        <v>0.94114583333333357</v>
      </c>
      <c r="N4" s="404">
        <f t="shared" ref="N4:N23" si="4">IFERROR((J4*G4*WY_high)/(365*WY_high),"--")</f>
        <v>0.22831050228310501</v>
      </c>
      <c r="O4" s="404">
        <f t="shared" ref="O4:O23" si="5">IFERROR((K4*G4*WY_mid)/(365*WY_mid),"--")</f>
        <v>0.21487347792998482</v>
      </c>
      <c r="P4" s="480">
        <f t="shared" ref="P4:P41" si="6">IFERROR((((H4*IF(E4="8-hr",ED_8,ED_12)/IF(E4="8-hr",ED_8,ED_12)))*G4*WY_high)/(365*WY_high),"--")</f>
        <v>0.68493150684931503</v>
      </c>
      <c r="Q4" s="480">
        <f t="shared" ref="Q4:Q41" si="7">IFERROR(((I4*IF(E4="8-hr",ED_8,ED_12)/IF(E4="8-hr",ED_8,ED_12))*G4*WY_high)/(365*WY_high),"--")</f>
        <v>0.64462043378995448</v>
      </c>
      <c r="R4" s="404">
        <f t="shared" ref="R4:R23" si="8">IFERROR((J4*G4*WY_high)/(365*LT),"--")</f>
        <v>0.11708230886313077</v>
      </c>
      <c r="S4" s="404">
        <f t="shared" ref="S4:S23" si="9">IFERROR((K4*G4*WY_mid)/(365*LT),"--")</f>
        <v>8.5398433536276019E-2</v>
      </c>
      <c r="T4" s="269">
        <v>2</v>
      </c>
      <c r="U4" s="381"/>
      <c r="V4" s="382" t="s">
        <v>63</v>
      </c>
      <c r="W4" s="21"/>
    </row>
    <row r="5" spans="2:23" x14ac:dyDescent="0.35">
      <c r="B5" s="316" t="s">
        <v>334</v>
      </c>
      <c r="C5" s="160" t="s">
        <v>296</v>
      </c>
      <c r="D5" s="49" t="s">
        <v>88</v>
      </c>
      <c r="E5" s="52" t="s">
        <v>335</v>
      </c>
      <c r="F5" s="52">
        <v>250</v>
      </c>
      <c r="G5" s="52">
        <v>250</v>
      </c>
      <c r="H5" s="25">
        <v>39.489840750833331</v>
      </c>
      <c r="I5" s="25">
        <v>4.6362499999999995</v>
      </c>
      <c r="J5" s="411">
        <f t="shared" si="0"/>
        <v>13.163280250277777</v>
      </c>
      <c r="K5" s="411">
        <f t="shared" si="1"/>
        <v>1.5454166666666664</v>
      </c>
      <c r="L5" s="496">
        <f t="shared" si="2"/>
        <v>39.489840750833331</v>
      </c>
      <c r="M5" s="496">
        <f t="shared" si="3"/>
        <v>4.6362499999999995</v>
      </c>
      <c r="N5" s="404">
        <f t="shared" si="4"/>
        <v>9.0159453769025877</v>
      </c>
      <c r="O5" s="411">
        <f t="shared" si="5"/>
        <v>1.0585045662100456</v>
      </c>
      <c r="P5" s="480">
        <f t="shared" si="6"/>
        <v>27.047836130707761</v>
      </c>
      <c r="Q5" s="480">
        <f t="shared" si="7"/>
        <v>3.1755136986301364</v>
      </c>
      <c r="R5" s="404">
        <f t="shared" si="8"/>
        <v>4.6235617317449167</v>
      </c>
      <c r="S5" s="411">
        <f t="shared" si="9"/>
        <v>0.42068771221168477</v>
      </c>
      <c r="T5" s="38">
        <v>22</v>
      </c>
      <c r="U5" s="77"/>
      <c r="V5" s="317" t="s">
        <v>63</v>
      </c>
      <c r="W5" s="469"/>
    </row>
    <row r="6" spans="2:23" ht="26" x14ac:dyDescent="0.35">
      <c r="B6" s="315" t="s">
        <v>334</v>
      </c>
      <c r="C6" s="273" t="s">
        <v>295</v>
      </c>
      <c r="D6" s="380" t="s">
        <v>91</v>
      </c>
      <c r="E6" s="271" t="s">
        <v>335</v>
      </c>
      <c r="F6" s="271">
        <v>250</v>
      </c>
      <c r="G6" s="271">
        <v>250</v>
      </c>
      <c r="H6" s="268">
        <v>1</v>
      </c>
      <c r="I6" s="268">
        <v>0.94114583333333357</v>
      </c>
      <c r="J6" s="404">
        <f t="shared" si="0"/>
        <v>0.33333333333333331</v>
      </c>
      <c r="K6" s="404">
        <f t="shared" si="1"/>
        <v>0.31371527777777786</v>
      </c>
      <c r="L6" s="496">
        <f t="shared" si="2"/>
        <v>1</v>
      </c>
      <c r="M6" s="496">
        <f t="shared" si="3"/>
        <v>0.94114583333333357</v>
      </c>
      <c r="N6" s="404">
        <f t="shared" si="4"/>
        <v>0.22831050228310501</v>
      </c>
      <c r="O6" s="404">
        <f t="shared" si="5"/>
        <v>0.21487347792998482</v>
      </c>
      <c r="P6" s="480">
        <f t="shared" si="6"/>
        <v>0.68493150684931503</v>
      </c>
      <c r="Q6" s="480">
        <f t="shared" si="7"/>
        <v>0.64462043378995448</v>
      </c>
      <c r="R6" s="404">
        <f t="shared" si="8"/>
        <v>0.11708230886313077</v>
      </c>
      <c r="S6" s="404">
        <f t="shared" si="9"/>
        <v>8.5398433536276019E-2</v>
      </c>
      <c r="T6" s="269">
        <v>2</v>
      </c>
      <c r="U6" s="77" t="s">
        <v>336</v>
      </c>
      <c r="V6" s="317" t="s">
        <v>63</v>
      </c>
      <c r="W6" s="469"/>
    </row>
    <row r="7" spans="2:23" ht="26" x14ac:dyDescent="0.35">
      <c r="B7" s="316" t="s">
        <v>334</v>
      </c>
      <c r="C7" s="160" t="s">
        <v>295</v>
      </c>
      <c r="D7" s="49" t="s">
        <v>88</v>
      </c>
      <c r="E7" s="52" t="s">
        <v>335</v>
      </c>
      <c r="F7" s="52">
        <v>250</v>
      </c>
      <c r="G7" s="52">
        <v>250</v>
      </c>
      <c r="H7" s="25">
        <v>39.489840750833331</v>
      </c>
      <c r="I7" s="25">
        <v>4.6362499999999995</v>
      </c>
      <c r="J7" s="411">
        <f t="shared" si="0"/>
        <v>13.163280250277777</v>
      </c>
      <c r="K7" s="411">
        <f t="shared" si="1"/>
        <v>1.5454166666666664</v>
      </c>
      <c r="L7" s="496">
        <f t="shared" si="2"/>
        <v>39.489840750833331</v>
      </c>
      <c r="M7" s="496">
        <f t="shared" si="3"/>
        <v>4.6362499999999995</v>
      </c>
      <c r="N7" s="404">
        <f t="shared" si="4"/>
        <v>9.0159453769025877</v>
      </c>
      <c r="O7" s="411">
        <f t="shared" si="5"/>
        <v>1.0585045662100456</v>
      </c>
      <c r="P7" s="480">
        <f t="shared" si="6"/>
        <v>27.047836130707761</v>
      </c>
      <c r="Q7" s="480">
        <f t="shared" si="7"/>
        <v>3.1755136986301364</v>
      </c>
      <c r="R7" s="404">
        <f t="shared" si="8"/>
        <v>4.6235617317449167</v>
      </c>
      <c r="S7" s="411">
        <f t="shared" si="9"/>
        <v>0.42068771221168477</v>
      </c>
      <c r="T7" s="38">
        <v>22</v>
      </c>
      <c r="U7" s="77" t="s">
        <v>336</v>
      </c>
      <c r="V7" s="317" t="s">
        <v>63</v>
      </c>
      <c r="W7" s="469"/>
    </row>
    <row r="8" spans="2:23" x14ac:dyDescent="0.35">
      <c r="B8" s="316" t="s">
        <v>337</v>
      </c>
      <c r="C8" s="160" t="s">
        <v>290</v>
      </c>
      <c r="D8" s="24" t="s">
        <v>91</v>
      </c>
      <c r="E8" s="53" t="s">
        <v>335</v>
      </c>
      <c r="F8" s="52">
        <v>250</v>
      </c>
      <c r="G8" s="52">
        <v>250</v>
      </c>
      <c r="H8" s="25" t="s">
        <v>245</v>
      </c>
      <c r="I8" s="25" t="s">
        <v>245</v>
      </c>
      <c r="J8" s="411" t="str">
        <f t="shared" si="0"/>
        <v>--</v>
      </c>
      <c r="K8" s="411" t="str">
        <f t="shared" si="1"/>
        <v>--</v>
      </c>
      <c r="L8" s="496" t="str">
        <f t="shared" si="2"/>
        <v>--</v>
      </c>
      <c r="M8" s="496" t="str">
        <f t="shared" si="3"/>
        <v>--</v>
      </c>
      <c r="N8" s="404" t="str">
        <f t="shared" si="4"/>
        <v>--</v>
      </c>
      <c r="O8" s="411" t="str">
        <f t="shared" si="5"/>
        <v>--</v>
      </c>
      <c r="P8" s="480" t="str">
        <f t="shared" si="6"/>
        <v>--</v>
      </c>
      <c r="Q8" s="480" t="str">
        <f t="shared" si="7"/>
        <v>--</v>
      </c>
      <c r="R8" s="404" t="str">
        <f t="shared" si="8"/>
        <v>--</v>
      </c>
      <c r="S8" s="411" t="str">
        <f t="shared" si="9"/>
        <v>--</v>
      </c>
      <c r="T8" s="38">
        <v>0</v>
      </c>
      <c r="U8" s="77"/>
      <c r="V8" s="317" t="s">
        <v>63</v>
      </c>
      <c r="W8" s="469"/>
    </row>
    <row r="9" spans="2:23" ht="13" x14ac:dyDescent="0.3">
      <c r="B9" s="316" t="s">
        <v>337</v>
      </c>
      <c r="C9" s="160" t="s">
        <v>290</v>
      </c>
      <c r="D9" s="561" t="s">
        <v>88</v>
      </c>
      <c r="E9" s="53" t="s">
        <v>335</v>
      </c>
      <c r="F9" s="52">
        <v>250</v>
      </c>
      <c r="G9" s="52">
        <v>250</v>
      </c>
      <c r="H9" s="25">
        <v>1.4541425360567775</v>
      </c>
      <c r="I9" s="25">
        <v>0.45777456427429791</v>
      </c>
      <c r="J9" s="411">
        <f t="shared" si="0"/>
        <v>0.48471417868559247</v>
      </c>
      <c r="K9" s="411">
        <f t="shared" si="1"/>
        <v>0.15259152142476598</v>
      </c>
      <c r="L9" s="496">
        <f t="shared" si="2"/>
        <v>1.4541425360567775</v>
      </c>
      <c r="M9" s="496">
        <f t="shared" si="3"/>
        <v>0.45777456427429791</v>
      </c>
      <c r="N9" s="404">
        <f t="shared" si="4"/>
        <v>0.331996012798351</v>
      </c>
      <c r="O9" s="411">
        <f t="shared" si="5"/>
        <v>0.1045147407018945</v>
      </c>
      <c r="P9" s="480">
        <f t="shared" si="6"/>
        <v>0.99598803839505312</v>
      </c>
      <c r="Q9" s="480">
        <f t="shared" si="7"/>
        <v>0.3135442221056835</v>
      </c>
      <c r="R9" s="404">
        <f t="shared" si="8"/>
        <v>0.17025436553761589</v>
      </c>
      <c r="S9" s="411">
        <f t="shared" si="9"/>
        <v>4.1537909766137554E-2</v>
      </c>
      <c r="T9" s="38">
        <v>19</v>
      </c>
      <c r="U9" s="77"/>
      <c r="V9" s="317" t="s">
        <v>63</v>
      </c>
      <c r="W9" s="21"/>
    </row>
    <row r="10" spans="2:23" ht="13" x14ac:dyDescent="0.3">
      <c r="B10" s="316" t="s">
        <v>338</v>
      </c>
      <c r="C10" s="566" t="s">
        <v>285</v>
      </c>
      <c r="D10" s="561" t="s">
        <v>91</v>
      </c>
      <c r="E10" s="52" t="s">
        <v>335</v>
      </c>
      <c r="F10" s="52">
        <v>250</v>
      </c>
      <c r="G10" s="52">
        <v>250</v>
      </c>
      <c r="H10" s="25">
        <v>9.0913124999999955</v>
      </c>
      <c r="I10" s="25">
        <v>1.1070833333333334</v>
      </c>
      <c r="J10" s="411">
        <f t="shared" si="0"/>
        <v>3.0304374999999983</v>
      </c>
      <c r="K10" s="411">
        <f t="shared" si="1"/>
        <v>0.36902777777777779</v>
      </c>
      <c r="L10" s="496">
        <f t="shared" si="2"/>
        <v>9.0913124999999955</v>
      </c>
      <c r="M10" s="496">
        <f t="shared" si="3"/>
        <v>1.1070833333333334</v>
      </c>
      <c r="N10" s="404">
        <f t="shared" si="4"/>
        <v>2.0756421232876701</v>
      </c>
      <c r="O10" s="411">
        <f t="shared" si="5"/>
        <v>0.25275875190258751</v>
      </c>
      <c r="P10" s="480">
        <f t="shared" si="6"/>
        <v>6.226926369863012</v>
      </c>
      <c r="Q10" s="480">
        <f t="shared" si="7"/>
        <v>0.75827625570776269</v>
      </c>
      <c r="R10" s="404">
        <f t="shared" si="8"/>
        <v>1.0644318580962411</v>
      </c>
      <c r="S10" s="411">
        <f t="shared" si="9"/>
        <v>0.10045540139718222</v>
      </c>
      <c r="T10" s="38">
        <v>10</v>
      </c>
      <c r="U10" s="211" t="s">
        <v>339</v>
      </c>
      <c r="V10" s="318" t="s">
        <v>63</v>
      </c>
      <c r="W10" s="21"/>
    </row>
    <row r="11" spans="2:23" ht="13" x14ac:dyDescent="0.3">
      <c r="B11" s="316" t="s">
        <v>338</v>
      </c>
      <c r="C11" s="566" t="s">
        <v>285</v>
      </c>
      <c r="D11" s="212" t="s">
        <v>88</v>
      </c>
      <c r="E11" s="52" t="s">
        <v>335</v>
      </c>
      <c r="F11" s="52">
        <v>250</v>
      </c>
      <c r="G11" s="52">
        <v>250</v>
      </c>
      <c r="H11" s="25">
        <v>77.762653169952046</v>
      </c>
      <c r="I11" s="25">
        <v>13.8</v>
      </c>
      <c r="J11" s="411">
        <f t="shared" si="0"/>
        <v>25.920884389984014</v>
      </c>
      <c r="K11" s="411">
        <f t="shared" si="1"/>
        <v>4.6000000000000005</v>
      </c>
      <c r="L11" s="496">
        <f t="shared" si="2"/>
        <v>77.762653169952046</v>
      </c>
      <c r="M11" s="496">
        <f t="shared" si="3"/>
        <v>13.8</v>
      </c>
      <c r="N11" s="404">
        <f t="shared" si="4"/>
        <v>17.754030404098639</v>
      </c>
      <c r="O11" s="411">
        <f t="shared" si="5"/>
        <v>3.1506849315068499</v>
      </c>
      <c r="P11" s="480">
        <f t="shared" si="6"/>
        <v>53.262091212295921</v>
      </c>
      <c r="Q11" s="480">
        <f t="shared" si="7"/>
        <v>9.4520547945205475</v>
      </c>
      <c r="R11" s="404">
        <f t="shared" si="8"/>
        <v>9.1046309764608413</v>
      </c>
      <c r="S11" s="411">
        <f t="shared" si="9"/>
        <v>1.252195293291184</v>
      </c>
      <c r="T11" s="38">
        <v>113</v>
      </c>
      <c r="U11" s="211" t="s">
        <v>339</v>
      </c>
      <c r="V11" s="318" t="s">
        <v>63</v>
      </c>
      <c r="W11" s="21"/>
    </row>
    <row r="12" spans="2:23" ht="13" x14ac:dyDescent="0.3">
      <c r="B12" s="316" t="s">
        <v>338</v>
      </c>
      <c r="C12" s="566" t="s">
        <v>288</v>
      </c>
      <c r="D12" s="561" t="s">
        <v>88</v>
      </c>
      <c r="E12" s="53" t="s">
        <v>340</v>
      </c>
      <c r="F12" s="52">
        <v>250</v>
      </c>
      <c r="G12" s="52">
        <v>250</v>
      </c>
      <c r="H12" s="159">
        <v>4.1900000000000004</v>
      </c>
      <c r="I12" s="159">
        <v>4.1900000000000004</v>
      </c>
      <c r="J12" s="411">
        <f t="shared" si="0"/>
        <v>2.0950000000000002</v>
      </c>
      <c r="K12" s="411">
        <f t="shared" si="1"/>
        <v>2.0950000000000002</v>
      </c>
      <c r="L12" s="496">
        <f t="shared" si="2"/>
        <v>4.1900000000000004</v>
      </c>
      <c r="M12" s="496">
        <f t="shared" si="3"/>
        <v>4.1900000000000004</v>
      </c>
      <c r="N12" s="404">
        <f t="shared" si="4"/>
        <v>1.4349315068493151</v>
      </c>
      <c r="O12" s="411">
        <f t="shared" si="5"/>
        <v>1.4349315068493151</v>
      </c>
      <c r="P12" s="480">
        <f t="shared" si="6"/>
        <v>2.8698630136986303</v>
      </c>
      <c r="Q12" s="480">
        <f t="shared" si="7"/>
        <v>2.8698630136986303</v>
      </c>
      <c r="R12" s="404">
        <f t="shared" si="8"/>
        <v>0.73586231120477696</v>
      </c>
      <c r="S12" s="411">
        <f t="shared" si="9"/>
        <v>0.57029329118370209</v>
      </c>
      <c r="T12" s="210">
        <v>1</v>
      </c>
      <c r="U12" s="211" t="s">
        <v>339</v>
      </c>
      <c r="V12" s="318" t="s">
        <v>63</v>
      </c>
      <c r="W12" s="21"/>
    </row>
    <row r="13" spans="2:23" ht="13" x14ac:dyDescent="0.3">
      <c r="B13" s="316">
        <v>24</v>
      </c>
      <c r="C13" s="566" t="s">
        <v>62</v>
      </c>
      <c r="D13" s="561" t="s">
        <v>91</v>
      </c>
      <c r="E13" s="52" t="s">
        <v>335</v>
      </c>
      <c r="F13" s="52">
        <v>250</v>
      </c>
      <c r="G13" s="52">
        <v>250</v>
      </c>
      <c r="H13" s="159" t="s">
        <v>245</v>
      </c>
      <c r="I13" s="159" t="s">
        <v>245</v>
      </c>
      <c r="J13" s="411" t="str">
        <f t="shared" si="0"/>
        <v>--</v>
      </c>
      <c r="K13" s="411" t="str">
        <f t="shared" si="1"/>
        <v>--</v>
      </c>
      <c r="L13" s="496" t="str">
        <f t="shared" si="2"/>
        <v>--</v>
      </c>
      <c r="M13" s="496" t="str">
        <f t="shared" si="3"/>
        <v>--</v>
      </c>
      <c r="N13" s="404" t="str">
        <f t="shared" si="4"/>
        <v>--</v>
      </c>
      <c r="O13" s="411" t="str">
        <f t="shared" si="5"/>
        <v>--</v>
      </c>
      <c r="P13" s="480" t="str">
        <f t="shared" si="6"/>
        <v>--</v>
      </c>
      <c r="Q13" s="480" t="str">
        <f t="shared" si="7"/>
        <v>--</v>
      </c>
      <c r="R13" s="404" t="str">
        <f t="shared" si="8"/>
        <v>--</v>
      </c>
      <c r="S13" s="411" t="str">
        <f t="shared" si="9"/>
        <v>--</v>
      </c>
      <c r="T13" s="210">
        <v>0</v>
      </c>
      <c r="U13" s="211"/>
      <c r="V13" s="318" t="s">
        <v>63</v>
      </c>
      <c r="W13" s="21"/>
    </row>
    <row r="14" spans="2:23" ht="13" x14ac:dyDescent="0.3">
      <c r="B14" s="433">
        <v>24</v>
      </c>
      <c r="C14" s="566" t="s">
        <v>62</v>
      </c>
      <c r="D14" s="561" t="s">
        <v>88</v>
      </c>
      <c r="E14" s="52" t="s">
        <v>335</v>
      </c>
      <c r="F14" s="52">
        <v>250</v>
      </c>
      <c r="G14" s="52">
        <v>250</v>
      </c>
      <c r="H14" s="159">
        <v>2.0955000000000172</v>
      </c>
      <c r="I14" s="159">
        <v>8.5000000000000006E-2</v>
      </c>
      <c r="J14" s="411">
        <f t="shared" si="0"/>
        <v>0.69850000000000578</v>
      </c>
      <c r="K14" s="411">
        <f t="shared" si="1"/>
        <v>2.8333333333333335E-2</v>
      </c>
      <c r="L14" s="496">
        <f t="shared" si="2"/>
        <v>2.0955000000000172</v>
      </c>
      <c r="M14" s="496">
        <f t="shared" si="3"/>
        <v>8.5000000000000006E-2</v>
      </c>
      <c r="N14" s="404">
        <f t="shared" si="4"/>
        <v>0.47842465753425056</v>
      </c>
      <c r="O14" s="411">
        <f t="shared" si="5"/>
        <v>1.9406392694063929E-2</v>
      </c>
      <c r="P14" s="480">
        <f t="shared" si="6"/>
        <v>1.4352739726027517</v>
      </c>
      <c r="Q14" s="480">
        <f t="shared" si="7"/>
        <v>5.8219178082191778E-2</v>
      </c>
      <c r="R14" s="404">
        <f t="shared" si="8"/>
        <v>0.24534597822269261</v>
      </c>
      <c r="S14" s="411">
        <f t="shared" si="9"/>
        <v>7.7127970963587408E-3</v>
      </c>
      <c r="T14" s="210">
        <v>20</v>
      </c>
      <c r="U14" s="211"/>
      <c r="V14" s="318" t="s">
        <v>63</v>
      </c>
      <c r="W14" s="21"/>
    </row>
    <row r="15" spans="2:23" ht="13" x14ac:dyDescent="0.3">
      <c r="B15" s="433" t="s">
        <v>341</v>
      </c>
      <c r="C15" s="566" t="s">
        <v>291</v>
      </c>
      <c r="D15" s="213" t="s">
        <v>91</v>
      </c>
      <c r="E15" s="52" t="s">
        <v>335</v>
      </c>
      <c r="F15" s="52">
        <v>250</v>
      </c>
      <c r="G15" s="52">
        <v>250</v>
      </c>
      <c r="H15" s="159" t="s">
        <v>245</v>
      </c>
      <c r="I15" s="159" t="s">
        <v>245</v>
      </c>
      <c r="J15" s="411" t="str">
        <f t="shared" si="0"/>
        <v>--</v>
      </c>
      <c r="K15" s="411" t="str">
        <f t="shared" si="1"/>
        <v>--</v>
      </c>
      <c r="L15" s="496" t="str">
        <f t="shared" si="2"/>
        <v>--</v>
      </c>
      <c r="M15" s="496" t="str">
        <f t="shared" si="3"/>
        <v>--</v>
      </c>
      <c r="N15" s="404" t="str">
        <f t="shared" si="4"/>
        <v>--</v>
      </c>
      <c r="O15" s="411" t="str">
        <f t="shared" si="5"/>
        <v>--</v>
      </c>
      <c r="P15" s="480" t="str">
        <f t="shared" si="6"/>
        <v>--</v>
      </c>
      <c r="Q15" s="480" t="str">
        <f t="shared" si="7"/>
        <v>--</v>
      </c>
      <c r="R15" s="404" t="str">
        <f t="shared" si="8"/>
        <v>--</v>
      </c>
      <c r="S15" s="411" t="str">
        <f t="shared" si="9"/>
        <v>--</v>
      </c>
      <c r="T15" s="210">
        <v>0</v>
      </c>
      <c r="U15" s="211" t="s">
        <v>342</v>
      </c>
      <c r="V15" s="318" t="s">
        <v>63</v>
      </c>
      <c r="W15" s="21"/>
    </row>
    <row r="16" spans="2:23" ht="13" x14ac:dyDescent="0.3">
      <c r="B16" s="433" t="s">
        <v>341</v>
      </c>
      <c r="C16" s="566" t="s">
        <v>291</v>
      </c>
      <c r="D16" s="561" t="s">
        <v>88</v>
      </c>
      <c r="E16" s="53" t="s">
        <v>335</v>
      </c>
      <c r="F16" s="52">
        <v>250</v>
      </c>
      <c r="G16" s="52">
        <v>250</v>
      </c>
      <c r="H16" s="159">
        <v>48.285624999999932</v>
      </c>
      <c r="I16" s="159">
        <v>32.383333333333333</v>
      </c>
      <c r="J16" s="411">
        <f t="shared" si="0"/>
        <v>16.095208333333311</v>
      </c>
      <c r="K16" s="411">
        <f t="shared" si="1"/>
        <v>10.794444444444444</v>
      </c>
      <c r="L16" s="496">
        <f t="shared" si="2"/>
        <v>48.285624999999932</v>
      </c>
      <c r="M16" s="496">
        <f t="shared" si="3"/>
        <v>32.383333333333333</v>
      </c>
      <c r="N16" s="404">
        <f t="shared" si="4"/>
        <v>11.024115296803638</v>
      </c>
      <c r="O16" s="411">
        <f t="shared" si="5"/>
        <v>7.3934550989345507</v>
      </c>
      <c r="P16" s="480">
        <f t="shared" si="6"/>
        <v>33.072345890410915</v>
      </c>
      <c r="Q16" s="480">
        <f t="shared" si="7"/>
        <v>22.18036529680365</v>
      </c>
      <c r="R16" s="404">
        <f t="shared" si="8"/>
        <v>5.6533924598993011</v>
      </c>
      <c r="S16" s="411">
        <f t="shared" si="9"/>
        <v>2.938424462397065</v>
      </c>
      <c r="T16" s="210">
        <v>18</v>
      </c>
      <c r="U16" s="211" t="s">
        <v>342</v>
      </c>
      <c r="V16" s="318" t="s">
        <v>63</v>
      </c>
      <c r="W16" s="21"/>
    </row>
    <row r="17" spans="2:23" ht="13" x14ac:dyDescent="0.3">
      <c r="B17" s="433">
        <v>4</v>
      </c>
      <c r="C17" s="24" t="s">
        <v>281</v>
      </c>
      <c r="D17" s="24" t="s">
        <v>88</v>
      </c>
      <c r="E17" s="52" t="s">
        <v>335</v>
      </c>
      <c r="F17" s="52">
        <v>250</v>
      </c>
      <c r="G17" s="52">
        <v>250</v>
      </c>
      <c r="H17" s="25">
        <v>1.1399999999999992</v>
      </c>
      <c r="I17" s="25">
        <v>4.9497474683058318E-4</v>
      </c>
      <c r="J17" s="411">
        <f t="shared" si="0"/>
        <v>0.37999999999999973</v>
      </c>
      <c r="K17" s="411">
        <f t="shared" si="1"/>
        <v>1.6499158227686105E-4</v>
      </c>
      <c r="L17" s="496">
        <f t="shared" si="2"/>
        <v>1.1399999999999992</v>
      </c>
      <c r="M17" s="496">
        <f t="shared" si="3"/>
        <v>4.9497474683058318E-4</v>
      </c>
      <c r="N17" s="404">
        <f t="shared" si="4"/>
        <v>0.26027397260273955</v>
      </c>
      <c r="O17" s="411">
        <f t="shared" si="5"/>
        <v>1.1300793306634319E-4</v>
      </c>
      <c r="P17" s="480">
        <f t="shared" si="6"/>
        <v>0.78082191780821864</v>
      </c>
      <c r="Q17" s="480">
        <f t="shared" si="7"/>
        <v>3.3902379919902958E-4</v>
      </c>
      <c r="R17" s="404">
        <f t="shared" si="8"/>
        <v>0.13347383210396899</v>
      </c>
      <c r="S17" s="411">
        <f t="shared" si="9"/>
        <v>4.4913409295597938E-5</v>
      </c>
      <c r="T17" s="38">
        <v>33</v>
      </c>
      <c r="U17" s="24" t="s">
        <v>343</v>
      </c>
      <c r="V17" s="317" t="s">
        <v>63</v>
      </c>
      <c r="W17" s="21"/>
    </row>
    <row r="18" spans="2:23" ht="13" x14ac:dyDescent="0.3">
      <c r="B18" s="433" t="s">
        <v>344</v>
      </c>
      <c r="C18" s="566" t="s">
        <v>279</v>
      </c>
      <c r="D18" s="213" t="s">
        <v>91</v>
      </c>
      <c r="E18" s="52" t="s">
        <v>340</v>
      </c>
      <c r="F18" s="52">
        <v>250</v>
      </c>
      <c r="G18" s="52">
        <v>250</v>
      </c>
      <c r="H18" s="159">
        <v>2.9029606514955475</v>
      </c>
      <c r="I18" s="159">
        <v>1.3119149098104881</v>
      </c>
      <c r="J18" s="411">
        <f t="shared" si="0"/>
        <v>1.4514803257477737</v>
      </c>
      <c r="K18" s="411">
        <f t="shared" si="1"/>
        <v>0.65595745490524404</v>
      </c>
      <c r="L18" s="496">
        <f t="shared" si="2"/>
        <v>2.9029606514955475</v>
      </c>
      <c r="M18" s="496">
        <f t="shared" si="3"/>
        <v>1.3119149098104881</v>
      </c>
      <c r="N18" s="404">
        <f t="shared" si="4"/>
        <v>0.99416460667655748</v>
      </c>
      <c r="O18" s="411">
        <f t="shared" si="5"/>
        <v>0.44928592801729045</v>
      </c>
      <c r="P18" s="480">
        <f t="shared" si="6"/>
        <v>1.988329213353115</v>
      </c>
      <c r="Q18" s="480">
        <f t="shared" si="7"/>
        <v>0.8985718560345809</v>
      </c>
      <c r="R18" s="404">
        <f t="shared" si="8"/>
        <v>0.50982800342387558</v>
      </c>
      <c r="S18" s="411">
        <f t="shared" si="9"/>
        <v>0.17856235600687184</v>
      </c>
      <c r="T18" s="210">
        <v>4</v>
      </c>
      <c r="U18" s="211" t="s">
        <v>342</v>
      </c>
      <c r="V18" s="318" t="s">
        <v>63</v>
      </c>
      <c r="W18" s="21"/>
    </row>
    <row r="19" spans="2:23" ht="13" x14ac:dyDescent="0.3">
      <c r="B19" s="433" t="s">
        <v>344</v>
      </c>
      <c r="C19" s="566" t="s">
        <v>279</v>
      </c>
      <c r="D19" s="561" t="s">
        <v>88</v>
      </c>
      <c r="E19" s="52" t="s">
        <v>340</v>
      </c>
      <c r="F19" s="52">
        <v>250</v>
      </c>
      <c r="G19" s="52">
        <v>250</v>
      </c>
      <c r="H19" s="159">
        <v>12.807453002511606</v>
      </c>
      <c r="I19" s="159">
        <v>4.2520930055559791</v>
      </c>
      <c r="J19" s="411">
        <f t="shared" si="0"/>
        <v>6.4037265012558029</v>
      </c>
      <c r="K19" s="411">
        <f t="shared" si="1"/>
        <v>2.1260465027779896</v>
      </c>
      <c r="L19" s="496">
        <f t="shared" si="2"/>
        <v>12.807453002511606</v>
      </c>
      <c r="M19" s="496">
        <f t="shared" si="3"/>
        <v>4.2520930055559791</v>
      </c>
      <c r="N19" s="404">
        <f t="shared" si="4"/>
        <v>4.3861140419560289</v>
      </c>
      <c r="O19" s="411">
        <f t="shared" si="5"/>
        <v>1.456196234779445</v>
      </c>
      <c r="P19" s="480">
        <f t="shared" si="6"/>
        <v>8.7722280839120579</v>
      </c>
      <c r="Q19" s="480">
        <f t="shared" si="7"/>
        <v>2.9123924695588901</v>
      </c>
      <c r="R19" s="404">
        <f t="shared" si="8"/>
        <v>2.2492892522851431</v>
      </c>
      <c r="S19" s="411">
        <f t="shared" si="9"/>
        <v>0.57874465741234349</v>
      </c>
      <c r="T19" s="210">
        <v>30</v>
      </c>
      <c r="U19" s="211" t="s">
        <v>342</v>
      </c>
      <c r="V19" s="318" t="s">
        <v>63</v>
      </c>
      <c r="W19" s="21"/>
    </row>
    <row r="20" spans="2:23" ht="13" x14ac:dyDescent="0.3">
      <c r="B20" s="433">
        <v>1</v>
      </c>
      <c r="C20" s="566" t="s">
        <v>276</v>
      </c>
      <c r="D20" s="561" t="s">
        <v>91</v>
      </c>
      <c r="E20" s="52" t="s">
        <v>335</v>
      </c>
      <c r="F20" s="52">
        <v>250</v>
      </c>
      <c r="G20" s="52">
        <v>250</v>
      </c>
      <c r="H20" s="159" t="s">
        <v>245</v>
      </c>
      <c r="I20" s="159" t="s">
        <v>245</v>
      </c>
      <c r="J20" s="411" t="str">
        <f t="shared" si="0"/>
        <v>--</v>
      </c>
      <c r="K20" s="411" t="str">
        <f t="shared" si="1"/>
        <v>--</v>
      </c>
      <c r="L20" s="496" t="str">
        <f t="shared" si="2"/>
        <v>--</v>
      </c>
      <c r="M20" s="496" t="str">
        <f t="shared" si="3"/>
        <v>--</v>
      </c>
      <c r="N20" s="404" t="str">
        <f t="shared" si="4"/>
        <v>--</v>
      </c>
      <c r="O20" s="411" t="str">
        <f t="shared" si="5"/>
        <v>--</v>
      </c>
      <c r="P20" s="480" t="str">
        <f t="shared" si="6"/>
        <v>--</v>
      </c>
      <c r="Q20" s="480" t="str">
        <f t="shared" si="7"/>
        <v>--</v>
      </c>
      <c r="R20" s="404" t="str">
        <f t="shared" si="8"/>
        <v>--</v>
      </c>
      <c r="S20" s="411" t="str">
        <f t="shared" si="9"/>
        <v>--</v>
      </c>
      <c r="T20" s="210">
        <v>0</v>
      </c>
      <c r="U20" s="420" t="s">
        <v>345</v>
      </c>
      <c r="V20" s="318" t="s">
        <v>63</v>
      </c>
      <c r="W20" s="21"/>
    </row>
    <row r="21" spans="2:23" ht="13" x14ac:dyDescent="0.3">
      <c r="B21" s="433">
        <v>1</v>
      </c>
      <c r="C21" s="566" t="s">
        <v>276</v>
      </c>
      <c r="D21" s="49" t="s">
        <v>88</v>
      </c>
      <c r="E21" s="410" t="s">
        <v>335</v>
      </c>
      <c r="F21" s="419">
        <v>250</v>
      </c>
      <c r="G21" s="419">
        <v>250</v>
      </c>
      <c r="H21" s="364">
        <v>2.4589999999999992</v>
      </c>
      <c r="I21" s="364">
        <v>0.115</v>
      </c>
      <c r="J21" s="411">
        <f t="shared" si="0"/>
        <v>0.81966666666666643</v>
      </c>
      <c r="K21" s="411">
        <f t="shared" si="1"/>
        <v>3.8333333333333337E-2</v>
      </c>
      <c r="L21" s="496">
        <f t="shared" si="2"/>
        <v>2.4589999999999992</v>
      </c>
      <c r="M21" s="496">
        <f t="shared" si="3"/>
        <v>0.115</v>
      </c>
      <c r="N21" s="404">
        <f t="shared" si="4"/>
        <v>0.56141552511415505</v>
      </c>
      <c r="O21" s="411">
        <f t="shared" si="5"/>
        <v>2.625570776255708E-2</v>
      </c>
      <c r="P21" s="480">
        <f t="shared" si="6"/>
        <v>1.6842465753424654</v>
      </c>
      <c r="Q21" s="480">
        <f t="shared" si="7"/>
        <v>7.8767123287671229E-2</v>
      </c>
      <c r="R21" s="404">
        <f t="shared" si="8"/>
        <v>0.2879053974944385</v>
      </c>
      <c r="S21" s="411">
        <f t="shared" si="9"/>
        <v>1.0434960777426533E-2</v>
      </c>
      <c r="T21" s="416">
        <v>50</v>
      </c>
      <c r="U21" s="211"/>
      <c r="V21" s="318" t="s">
        <v>63</v>
      </c>
      <c r="W21" s="21"/>
    </row>
    <row r="22" spans="2:23" ht="13" x14ac:dyDescent="0.3">
      <c r="B22" s="433">
        <v>13</v>
      </c>
      <c r="C22" s="566" t="s">
        <v>303</v>
      </c>
      <c r="D22" s="561" t="s">
        <v>91</v>
      </c>
      <c r="E22" s="52" t="s">
        <v>335</v>
      </c>
      <c r="F22" s="52">
        <v>250</v>
      </c>
      <c r="G22" s="52">
        <v>250</v>
      </c>
      <c r="H22" s="25" t="s">
        <v>245</v>
      </c>
      <c r="I22" s="25" t="s">
        <v>245</v>
      </c>
      <c r="J22" s="411" t="str">
        <f t="shared" si="0"/>
        <v>--</v>
      </c>
      <c r="K22" s="411" t="str">
        <f t="shared" si="1"/>
        <v>--</v>
      </c>
      <c r="L22" s="496" t="str">
        <f t="shared" si="2"/>
        <v>--</v>
      </c>
      <c r="M22" s="496" t="str">
        <f t="shared" si="3"/>
        <v>--</v>
      </c>
      <c r="N22" s="404" t="str">
        <f t="shared" si="4"/>
        <v>--</v>
      </c>
      <c r="O22" s="411" t="str">
        <f t="shared" si="5"/>
        <v>--</v>
      </c>
      <c r="P22" s="480" t="str">
        <f t="shared" si="6"/>
        <v>--</v>
      </c>
      <c r="Q22" s="480" t="str">
        <f t="shared" si="7"/>
        <v>--</v>
      </c>
      <c r="R22" s="404" t="str">
        <f t="shared" si="8"/>
        <v>--</v>
      </c>
      <c r="S22" s="411" t="str">
        <f t="shared" si="9"/>
        <v>--</v>
      </c>
      <c r="T22" s="38">
        <v>0</v>
      </c>
      <c r="U22" s="211"/>
      <c r="V22" s="318" t="s">
        <v>63</v>
      </c>
      <c r="W22" s="21"/>
    </row>
    <row r="23" spans="2:23" ht="13" x14ac:dyDescent="0.3">
      <c r="B23" s="433">
        <v>13</v>
      </c>
      <c r="C23" s="566" t="s">
        <v>303</v>
      </c>
      <c r="D23" s="561" t="s">
        <v>88</v>
      </c>
      <c r="E23" s="52" t="s">
        <v>335</v>
      </c>
      <c r="F23" s="52">
        <v>250</v>
      </c>
      <c r="G23" s="52">
        <v>250</v>
      </c>
      <c r="H23" s="25">
        <v>75.374999999999986</v>
      </c>
      <c r="I23" s="25">
        <v>69.685416666666669</v>
      </c>
      <c r="J23" s="411">
        <f t="shared" si="0"/>
        <v>25.124999999999996</v>
      </c>
      <c r="K23" s="411">
        <f t="shared" si="1"/>
        <v>23.228472222222223</v>
      </c>
      <c r="L23" s="496">
        <f t="shared" si="2"/>
        <v>75.374999999999986</v>
      </c>
      <c r="M23" s="496">
        <f t="shared" si="3"/>
        <v>69.685416666666669</v>
      </c>
      <c r="N23" s="404">
        <f t="shared" si="4"/>
        <v>17.208904109589039</v>
      </c>
      <c r="O23" s="411">
        <f t="shared" si="5"/>
        <v>15.909912480974125</v>
      </c>
      <c r="P23" s="480">
        <f t="shared" si="6"/>
        <v>51.626712328767113</v>
      </c>
      <c r="Q23" s="480">
        <f t="shared" si="7"/>
        <v>47.729737442922378</v>
      </c>
      <c r="R23" s="404">
        <f t="shared" si="8"/>
        <v>8.8250790305584808</v>
      </c>
      <c r="S23" s="411">
        <f t="shared" si="9"/>
        <v>6.3231703450025369</v>
      </c>
      <c r="T23" s="38">
        <v>3</v>
      </c>
      <c r="U23" s="211"/>
      <c r="V23" s="318" t="s">
        <v>63</v>
      </c>
      <c r="W23" s="21"/>
    </row>
    <row r="24" spans="2:23" ht="13" x14ac:dyDescent="0.3">
      <c r="B24" s="316" t="s">
        <v>346</v>
      </c>
      <c r="C24" s="160" t="s">
        <v>302</v>
      </c>
      <c r="D24" s="49" t="s">
        <v>88</v>
      </c>
      <c r="E24" s="52" t="s">
        <v>335</v>
      </c>
      <c r="F24" s="270">
        <v>293</v>
      </c>
      <c r="G24" s="270">
        <v>258</v>
      </c>
      <c r="H24" s="38">
        <v>2.851</v>
      </c>
      <c r="I24" s="161">
        <v>0.38287163299663296</v>
      </c>
      <c r="J24" s="268">
        <v>0.95033333333333336</v>
      </c>
      <c r="K24" s="268">
        <v>0.12762387766554431</v>
      </c>
      <c r="L24" s="496">
        <f t="shared" si="2"/>
        <v>2.851</v>
      </c>
      <c r="M24" s="496">
        <f t="shared" si="3"/>
        <v>0.38287163299663296</v>
      </c>
      <c r="N24" s="268">
        <v>0.67174246575342467</v>
      </c>
      <c r="O24" s="268">
        <v>9.0210850514275159E-2</v>
      </c>
      <c r="P24" s="480">
        <f t="shared" si="6"/>
        <v>2.0152273972602739</v>
      </c>
      <c r="Q24" s="480">
        <f t="shared" si="7"/>
        <v>0.27063255154282551</v>
      </c>
      <c r="R24" s="549">
        <v>0.34448331577098701</v>
      </c>
      <c r="S24" s="268">
        <v>3.5853030332596535E-2</v>
      </c>
      <c r="T24" s="38">
        <v>8</v>
      </c>
      <c r="U24" s="77" t="s">
        <v>347</v>
      </c>
      <c r="V24" s="317" t="s">
        <v>63</v>
      </c>
      <c r="W24" s="21"/>
    </row>
    <row r="25" spans="2:23" ht="13" x14ac:dyDescent="0.3">
      <c r="B25" s="433" t="s">
        <v>348</v>
      </c>
      <c r="C25" s="24" t="s">
        <v>284</v>
      </c>
      <c r="D25" s="49" t="s">
        <v>88</v>
      </c>
      <c r="E25" s="410" t="s">
        <v>335</v>
      </c>
      <c r="F25" s="410">
        <v>250</v>
      </c>
      <c r="G25" s="410">
        <v>250</v>
      </c>
      <c r="H25" s="364">
        <v>2.4589999999999992</v>
      </c>
      <c r="I25" s="364">
        <v>0.115</v>
      </c>
      <c r="J25" s="411">
        <f t="shared" ref="J25:J41" si="10">IFERROR((H25*IF(E25="8-hr",ED_8,ED_12)/AT),"--")</f>
        <v>0.81966666666666643</v>
      </c>
      <c r="K25" s="411">
        <f t="shared" ref="K25:K41" si="11">IFERROR((I25*IF(E25="8-hr",ED_8,ED_12)/AT),"--")</f>
        <v>3.8333333333333337E-2</v>
      </c>
      <c r="L25" s="496">
        <f t="shared" si="2"/>
        <v>2.4589999999999992</v>
      </c>
      <c r="M25" s="496">
        <f t="shared" si="3"/>
        <v>0.115</v>
      </c>
      <c r="N25" s="404">
        <f t="shared" ref="N25:N32" si="12">IFERROR((J25*G25*WY_high)/(365*WY_high),"--")</f>
        <v>0.56141552511415505</v>
      </c>
      <c r="O25" s="411">
        <f t="shared" ref="O25:O32" si="13">IFERROR((K25*G25*WY_mid)/(365*WY_mid),"--")</f>
        <v>2.625570776255708E-2</v>
      </c>
      <c r="P25" s="480">
        <f t="shared" si="6"/>
        <v>1.6842465753424654</v>
      </c>
      <c r="Q25" s="480">
        <f t="shared" si="7"/>
        <v>7.8767123287671229E-2</v>
      </c>
      <c r="R25" s="404">
        <f t="shared" ref="R25:R32" si="14">IFERROR((J25*G25*WY_high)/(365*LT),"--")</f>
        <v>0.2879053974944385</v>
      </c>
      <c r="S25" s="411">
        <f t="shared" ref="S25:S32" si="15">IFERROR((K25*G25*WY_mid)/(365*LT),"--")</f>
        <v>1.0434960777426533E-2</v>
      </c>
      <c r="T25" s="416">
        <v>50</v>
      </c>
      <c r="U25" s="420" t="s">
        <v>349</v>
      </c>
      <c r="V25" s="318" t="s">
        <v>63</v>
      </c>
      <c r="W25" s="21"/>
    </row>
    <row r="26" spans="2:23" ht="13" x14ac:dyDescent="0.3">
      <c r="B26" s="433" t="s">
        <v>350</v>
      </c>
      <c r="C26" s="561" t="s">
        <v>283</v>
      </c>
      <c r="D26" s="561" t="s">
        <v>88</v>
      </c>
      <c r="E26" s="52" t="s">
        <v>335</v>
      </c>
      <c r="F26" s="270">
        <v>250</v>
      </c>
      <c r="G26" s="270">
        <v>250</v>
      </c>
      <c r="H26" s="25">
        <v>1.1399999999999992</v>
      </c>
      <c r="I26" s="25">
        <v>4.9497474683058318E-4</v>
      </c>
      <c r="J26" s="411">
        <f t="shared" si="10"/>
        <v>0.37999999999999973</v>
      </c>
      <c r="K26" s="411">
        <f t="shared" si="11"/>
        <v>1.6499158227686105E-4</v>
      </c>
      <c r="L26" s="496">
        <f t="shared" si="2"/>
        <v>1.1399999999999992</v>
      </c>
      <c r="M26" s="496">
        <f t="shared" si="3"/>
        <v>4.9497474683058318E-4</v>
      </c>
      <c r="N26" s="404">
        <f t="shared" si="12"/>
        <v>0.26027397260273955</v>
      </c>
      <c r="O26" s="411">
        <f t="shared" si="13"/>
        <v>1.1300793306634319E-4</v>
      </c>
      <c r="P26" s="480">
        <f t="shared" si="6"/>
        <v>0.78082191780821864</v>
      </c>
      <c r="Q26" s="480">
        <f t="shared" si="7"/>
        <v>3.3902379919902958E-4</v>
      </c>
      <c r="R26" s="404">
        <f t="shared" si="14"/>
        <v>0.13347383210396899</v>
      </c>
      <c r="S26" s="411">
        <f t="shared" si="15"/>
        <v>4.4913409295597938E-5</v>
      </c>
      <c r="T26" s="38">
        <v>33</v>
      </c>
      <c r="U26" s="24" t="s">
        <v>343</v>
      </c>
      <c r="V26" s="317" t="s">
        <v>63</v>
      </c>
      <c r="W26" s="21"/>
    </row>
    <row r="27" spans="2:23" ht="13" x14ac:dyDescent="0.3">
      <c r="B27" s="433">
        <v>3</v>
      </c>
      <c r="C27" s="566" t="s">
        <v>278</v>
      </c>
      <c r="D27" s="49" t="s">
        <v>88</v>
      </c>
      <c r="E27" s="410" t="s">
        <v>335</v>
      </c>
      <c r="F27" s="410">
        <v>250</v>
      </c>
      <c r="G27" s="410">
        <v>250</v>
      </c>
      <c r="H27" s="364">
        <v>2.4589999999999992</v>
      </c>
      <c r="I27" s="364">
        <v>0.115</v>
      </c>
      <c r="J27" s="411">
        <f t="shared" si="10"/>
        <v>0.81966666666666643</v>
      </c>
      <c r="K27" s="411">
        <f t="shared" si="11"/>
        <v>3.8333333333333337E-2</v>
      </c>
      <c r="L27" s="496">
        <f t="shared" si="2"/>
        <v>2.4589999999999992</v>
      </c>
      <c r="M27" s="496">
        <f t="shared" si="3"/>
        <v>0.115</v>
      </c>
      <c r="N27" s="404">
        <f t="shared" si="12"/>
        <v>0.56141552511415505</v>
      </c>
      <c r="O27" s="411">
        <f t="shared" si="13"/>
        <v>2.625570776255708E-2</v>
      </c>
      <c r="P27" s="480">
        <f t="shared" si="6"/>
        <v>1.6842465753424654</v>
      </c>
      <c r="Q27" s="480">
        <f t="shared" si="7"/>
        <v>7.8767123287671229E-2</v>
      </c>
      <c r="R27" s="404">
        <f t="shared" si="14"/>
        <v>0.2879053974944385</v>
      </c>
      <c r="S27" s="411">
        <f t="shared" si="15"/>
        <v>1.0434960777426533E-2</v>
      </c>
      <c r="T27" s="416">
        <v>50</v>
      </c>
      <c r="U27" s="420" t="s">
        <v>345</v>
      </c>
      <c r="V27" s="317" t="s">
        <v>63</v>
      </c>
      <c r="W27" s="21"/>
    </row>
    <row r="28" spans="2:23" ht="13" x14ac:dyDescent="0.3">
      <c r="B28" s="433">
        <v>6</v>
      </c>
      <c r="C28" s="160" t="s">
        <v>282</v>
      </c>
      <c r="D28" s="49" t="s">
        <v>91</v>
      </c>
      <c r="E28" s="52" t="s">
        <v>335</v>
      </c>
      <c r="F28" s="270">
        <v>250</v>
      </c>
      <c r="G28" s="270">
        <v>250</v>
      </c>
      <c r="H28" s="25" t="s">
        <v>245</v>
      </c>
      <c r="I28" s="25" t="s">
        <v>245</v>
      </c>
      <c r="J28" s="411" t="str">
        <f t="shared" si="10"/>
        <v>--</v>
      </c>
      <c r="K28" s="411" t="str">
        <f t="shared" si="11"/>
        <v>--</v>
      </c>
      <c r="L28" s="496" t="str">
        <f t="shared" si="2"/>
        <v>--</v>
      </c>
      <c r="M28" s="496" t="str">
        <f t="shared" si="3"/>
        <v>--</v>
      </c>
      <c r="N28" s="404" t="str">
        <f t="shared" si="12"/>
        <v>--</v>
      </c>
      <c r="O28" s="411" t="str">
        <f t="shared" si="13"/>
        <v>--</v>
      </c>
      <c r="P28" s="480" t="str">
        <f t="shared" si="6"/>
        <v>--</v>
      </c>
      <c r="Q28" s="480" t="str">
        <f t="shared" si="7"/>
        <v>--</v>
      </c>
      <c r="R28" s="404" t="str">
        <f t="shared" si="14"/>
        <v>--</v>
      </c>
      <c r="S28" s="411" t="str">
        <f t="shared" si="15"/>
        <v>--</v>
      </c>
      <c r="T28" s="38">
        <v>0</v>
      </c>
      <c r="U28" s="77"/>
      <c r="V28" s="317" t="s">
        <v>63</v>
      </c>
      <c r="W28" s="21"/>
    </row>
    <row r="29" spans="2:23" ht="13" x14ac:dyDescent="0.3">
      <c r="B29" s="433">
        <v>6</v>
      </c>
      <c r="C29" s="24" t="s">
        <v>282</v>
      </c>
      <c r="D29" s="24" t="s">
        <v>88</v>
      </c>
      <c r="E29" s="52" t="s">
        <v>335</v>
      </c>
      <c r="F29" s="270">
        <v>250</v>
      </c>
      <c r="G29" s="270">
        <v>250</v>
      </c>
      <c r="H29" s="25">
        <v>1.1399999999999992</v>
      </c>
      <c r="I29" s="25">
        <v>4.9497474683058318E-4</v>
      </c>
      <c r="J29" s="411">
        <f t="shared" si="10"/>
        <v>0.37999999999999973</v>
      </c>
      <c r="K29" s="411">
        <f t="shared" si="11"/>
        <v>1.6499158227686105E-4</v>
      </c>
      <c r="L29" s="496">
        <f t="shared" si="2"/>
        <v>1.1399999999999992</v>
      </c>
      <c r="M29" s="496">
        <f t="shared" si="3"/>
        <v>4.9497474683058318E-4</v>
      </c>
      <c r="N29" s="404">
        <f t="shared" si="12"/>
        <v>0.26027397260273955</v>
      </c>
      <c r="O29" s="411">
        <f t="shared" si="13"/>
        <v>1.1300793306634319E-4</v>
      </c>
      <c r="P29" s="480">
        <f t="shared" si="6"/>
        <v>0.78082191780821864</v>
      </c>
      <c r="Q29" s="480">
        <f t="shared" si="7"/>
        <v>3.3902379919902958E-4</v>
      </c>
      <c r="R29" s="404">
        <f t="shared" si="14"/>
        <v>0.13347383210396899</v>
      </c>
      <c r="S29" s="411">
        <f t="shared" si="15"/>
        <v>4.4913409295597938E-5</v>
      </c>
      <c r="T29" s="38">
        <v>33</v>
      </c>
      <c r="U29" s="77"/>
      <c r="V29" s="317" t="s">
        <v>63</v>
      </c>
      <c r="W29" s="21"/>
    </row>
    <row r="30" spans="2:23" ht="13" x14ac:dyDescent="0.3">
      <c r="B30" s="433" t="s">
        <v>346</v>
      </c>
      <c r="C30" s="160" t="s">
        <v>298</v>
      </c>
      <c r="D30" s="49" t="s">
        <v>91</v>
      </c>
      <c r="E30" s="52" t="s">
        <v>335</v>
      </c>
      <c r="F30" s="52">
        <v>293</v>
      </c>
      <c r="G30" s="52">
        <v>258</v>
      </c>
      <c r="H30" s="38" t="s">
        <v>245</v>
      </c>
      <c r="I30" s="161" t="s">
        <v>245</v>
      </c>
      <c r="J30" s="491" t="str">
        <f t="shared" si="10"/>
        <v>--</v>
      </c>
      <c r="K30" s="491" t="str">
        <f t="shared" si="11"/>
        <v>--</v>
      </c>
      <c r="L30" s="496" t="str">
        <f t="shared" si="2"/>
        <v>--</v>
      </c>
      <c r="M30" s="496" t="str">
        <f t="shared" si="3"/>
        <v>--</v>
      </c>
      <c r="N30" s="491" t="str">
        <f t="shared" si="12"/>
        <v>--</v>
      </c>
      <c r="O30" s="491" t="str">
        <f t="shared" si="13"/>
        <v>--</v>
      </c>
      <c r="P30" s="480" t="str">
        <f t="shared" si="6"/>
        <v>--</v>
      </c>
      <c r="Q30" s="480" t="str">
        <f t="shared" si="7"/>
        <v>--</v>
      </c>
      <c r="R30" s="491" t="str">
        <f t="shared" si="14"/>
        <v>--</v>
      </c>
      <c r="S30" s="491" t="str">
        <f t="shared" si="15"/>
        <v>--</v>
      </c>
      <c r="T30" s="38">
        <v>0</v>
      </c>
      <c r="U30" s="77"/>
      <c r="V30" s="317" t="s">
        <v>63</v>
      </c>
      <c r="W30" s="21"/>
    </row>
    <row r="31" spans="2:23" ht="13" x14ac:dyDescent="0.3">
      <c r="B31" s="433" t="s">
        <v>346</v>
      </c>
      <c r="C31" s="160" t="s">
        <v>298</v>
      </c>
      <c r="D31" s="49" t="s">
        <v>88</v>
      </c>
      <c r="E31" s="52" t="s">
        <v>335</v>
      </c>
      <c r="F31" s="52">
        <v>293</v>
      </c>
      <c r="G31" s="52">
        <v>258</v>
      </c>
      <c r="H31" s="38">
        <v>2.851</v>
      </c>
      <c r="I31" s="161">
        <v>0.38287163299663296</v>
      </c>
      <c r="J31" s="411">
        <f t="shared" si="10"/>
        <v>0.95033333333333336</v>
      </c>
      <c r="K31" s="411">
        <f t="shared" si="11"/>
        <v>0.12762387766554431</v>
      </c>
      <c r="L31" s="496">
        <f t="shared" si="2"/>
        <v>2.851</v>
      </c>
      <c r="M31" s="496">
        <f t="shared" si="3"/>
        <v>0.38287163299663296</v>
      </c>
      <c r="N31" s="411">
        <f t="shared" si="12"/>
        <v>0.67174246575342467</v>
      </c>
      <c r="O31" s="411">
        <f t="shared" si="13"/>
        <v>9.0210850514275159E-2</v>
      </c>
      <c r="P31" s="496">
        <f t="shared" si="6"/>
        <v>2.0152273972602739</v>
      </c>
      <c r="Q31" s="496">
        <f t="shared" si="7"/>
        <v>0.27063255154282551</v>
      </c>
      <c r="R31" s="411">
        <f t="shared" si="14"/>
        <v>0.34448331577098701</v>
      </c>
      <c r="S31" s="411">
        <f t="shared" si="15"/>
        <v>3.5853030332596535E-2</v>
      </c>
      <c r="T31" s="38">
        <v>8</v>
      </c>
      <c r="U31" s="77"/>
      <c r="V31" s="317" t="s">
        <v>63</v>
      </c>
      <c r="W31" s="21"/>
    </row>
    <row r="32" spans="2:23" ht="13.5" thickBot="1" x14ac:dyDescent="0.35">
      <c r="B32" s="356" t="s">
        <v>346</v>
      </c>
      <c r="C32" s="440" t="s">
        <v>297</v>
      </c>
      <c r="D32" s="441" t="s">
        <v>88</v>
      </c>
      <c r="E32" s="272" t="s">
        <v>340</v>
      </c>
      <c r="F32" s="272">
        <v>293</v>
      </c>
      <c r="G32" s="272">
        <v>258</v>
      </c>
      <c r="H32" s="222">
        <v>0.93499999999999994</v>
      </c>
      <c r="I32" s="222">
        <v>0.93499999999999994</v>
      </c>
      <c r="J32" s="492">
        <f t="shared" si="10"/>
        <v>0.46749999999999997</v>
      </c>
      <c r="K32" s="492">
        <f t="shared" si="11"/>
        <v>0.46749999999999997</v>
      </c>
      <c r="L32" s="481">
        <f t="shared" si="2"/>
        <v>0.93499999999999994</v>
      </c>
      <c r="M32" s="481">
        <f t="shared" si="3"/>
        <v>0.93499999999999994</v>
      </c>
      <c r="N32" s="492">
        <f t="shared" si="12"/>
        <v>0.3304520547945205</v>
      </c>
      <c r="O32" s="492">
        <f t="shared" si="13"/>
        <v>0.33045205479452056</v>
      </c>
      <c r="P32" s="481">
        <f t="shared" si="6"/>
        <v>0.660904109589041</v>
      </c>
      <c r="Q32" s="481">
        <f t="shared" si="7"/>
        <v>0.660904109589041</v>
      </c>
      <c r="R32" s="492">
        <f t="shared" si="14"/>
        <v>0.16946259220231821</v>
      </c>
      <c r="S32" s="492">
        <f t="shared" si="15"/>
        <v>0.13133350895679663</v>
      </c>
      <c r="T32" s="358">
        <v>1</v>
      </c>
      <c r="U32" s="359"/>
      <c r="V32" s="360" t="s">
        <v>63</v>
      </c>
      <c r="W32" s="21"/>
    </row>
    <row r="33" spans="1:25" ht="39" x14ac:dyDescent="0.3">
      <c r="B33" s="545" t="s">
        <v>351</v>
      </c>
      <c r="C33" s="380" t="s">
        <v>294</v>
      </c>
      <c r="D33" s="546" t="s">
        <v>91</v>
      </c>
      <c r="E33" s="271" t="s">
        <v>335</v>
      </c>
      <c r="F33" s="271">
        <v>250</v>
      </c>
      <c r="G33" s="271">
        <v>250</v>
      </c>
      <c r="H33" s="548">
        <v>1.04</v>
      </c>
      <c r="I33" s="548">
        <v>0.14000000000000001</v>
      </c>
      <c r="J33" s="491">
        <f t="shared" si="10"/>
        <v>0.34666666666666668</v>
      </c>
      <c r="K33" s="491">
        <f t="shared" si="11"/>
        <v>4.6666666666666669E-2</v>
      </c>
      <c r="L33" s="480">
        <f t="shared" si="2"/>
        <v>1.04</v>
      </c>
      <c r="M33" s="480">
        <f t="shared" si="3"/>
        <v>0.14000000000000001</v>
      </c>
      <c r="N33" s="404">
        <v>0.23799999999999999</v>
      </c>
      <c r="O33" s="404">
        <v>3.2000000000000001E-2</v>
      </c>
      <c r="P33" s="480">
        <f t="shared" si="6"/>
        <v>0.71232876712328763</v>
      </c>
      <c r="Q33" s="480">
        <f t="shared" si="7"/>
        <v>9.5890410958904104E-2</v>
      </c>
      <c r="R33" s="411">
        <v>9.2999999999999999E-2</v>
      </c>
      <c r="S33" s="411">
        <v>1.2E-2</v>
      </c>
      <c r="T33" s="533" t="s">
        <v>352</v>
      </c>
      <c r="U33" s="535" t="s">
        <v>353</v>
      </c>
      <c r="V33" s="365" t="s">
        <v>354</v>
      </c>
      <c r="W33" s="21"/>
    </row>
    <row r="34" spans="1:25" ht="39" x14ac:dyDescent="0.3">
      <c r="B34" s="316" t="s">
        <v>351</v>
      </c>
      <c r="C34" s="24" t="s">
        <v>294</v>
      </c>
      <c r="D34" s="49" t="s">
        <v>88</v>
      </c>
      <c r="E34" s="52" t="s">
        <v>335</v>
      </c>
      <c r="F34" s="52">
        <v>250</v>
      </c>
      <c r="G34" s="52">
        <v>250</v>
      </c>
      <c r="H34" s="160">
        <v>23.98</v>
      </c>
      <c r="I34" s="160">
        <v>7.63</v>
      </c>
      <c r="J34" s="411">
        <f t="shared" si="10"/>
        <v>7.9933333333333332</v>
      </c>
      <c r="K34" s="411">
        <f t="shared" si="11"/>
        <v>2.5433333333333334</v>
      </c>
      <c r="L34" s="496">
        <f t="shared" si="2"/>
        <v>23.98</v>
      </c>
      <c r="M34" s="496">
        <f t="shared" si="3"/>
        <v>7.63</v>
      </c>
      <c r="N34" s="411">
        <v>5.4749999999999996</v>
      </c>
      <c r="O34" s="411">
        <v>1.7410000000000001</v>
      </c>
      <c r="P34" s="480">
        <f t="shared" si="6"/>
        <v>16.424657534246574</v>
      </c>
      <c r="Q34" s="480">
        <f t="shared" si="7"/>
        <v>5.2260273972602738</v>
      </c>
      <c r="R34" s="411">
        <v>2.2090000000000001</v>
      </c>
      <c r="S34" s="411">
        <v>0.65300000000000002</v>
      </c>
      <c r="T34" s="38" t="s">
        <v>352</v>
      </c>
      <c r="U34" s="77" t="s">
        <v>353</v>
      </c>
      <c r="V34" s="317" t="s">
        <v>354</v>
      </c>
      <c r="W34" s="21"/>
    </row>
    <row r="35" spans="1:25" ht="13" x14ac:dyDescent="0.3">
      <c r="B35" s="316" t="s">
        <v>338</v>
      </c>
      <c r="C35" s="160" t="s">
        <v>285</v>
      </c>
      <c r="D35" s="49" t="s">
        <v>91</v>
      </c>
      <c r="E35" s="52" t="s">
        <v>335</v>
      </c>
      <c r="F35" s="52">
        <v>250</v>
      </c>
      <c r="G35" s="52">
        <v>250</v>
      </c>
      <c r="H35" s="38">
        <v>237</v>
      </c>
      <c r="I35" s="161">
        <v>18.100000000000001</v>
      </c>
      <c r="J35" s="404">
        <f t="shared" si="10"/>
        <v>79</v>
      </c>
      <c r="K35" s="404">
        <f t="shared" si="11"/>
        <v>6.0333333333333341</v>
      </c>
      <c r="L35" s="496">
        <f t="shared" si="2"/>
        <v>237</v>
      </c>
      <c r="M35" s="496">
        <f t="shared" si="3"/>
        <v>18.100000000000001</v>
      </c>
      <c r="N35" s="532">
        <v>54</v>
      </c>
      <c r="O35" s="404">
        <v>4.1399999999999997</v>
      </c>
      <c r="P35" s="480">
        <f t="shared" si="6"/>
        <v>162.32876712328766</v>
      </c>
      <c r="Q35" s="480">
        <f t="shared" si="7"/>
        <v>12.397260273972602</v>
      </c>
      <c r="R35" s="404">
        <v>21.1</v>
      </c>
      <c r="S35" s="404">
        <v>1.54</v>
      </c>
      <c r="T35" s="38" t="s">
        <v>352</v>
      </c>
      <c r="U35" s="77" t="s">
        <v>355</v>
      </c>
      <c r="V35" s="317" t="s">
        <v>354</v>
      </c>
      <c r="W35" s="21"/>
    </row>
    <row r="36" spans="1:25" ht="13" x14ac:dyDescent="0.3">
      <c r="B36" s="316" t="s">
        <v>338</v>
      </c>
      <c r="C36" s="160" t="s">
        <v>285</v>
      </c>
      <c r="D36" s="49" t="s">
        <v>88</v>
      </c>
      <c r="E36" s="52" t="s">
        <v>335</v>
      </c>
      <c r="F36" s="270">
        <v>250</v>
      </c>
      <c r="G36" s="270">
        <v>250</v>
      </c>
      <c r="H36" s="38">
        <v>388</v>
      </c>
      <c r="I36" s="161">
        <v>34.799999999999997</v>
      </c>
      <c r="J36" s="411">
        <f t="shared" si="10"/>
        <v>129.33333333333334</v>
      </c>
      <c r="K36" s="411">
        <f t="shared" si="11"/>
        <v>11.6</v>
      </c>
      <c r="L36" s="496">
        <f t="shared" si="2"/>
        <v>388</v>
      </c>
      <c r="M36" s="496">
        <f t="shared" si="3"/>
        <v>34.799999999999997</v>
      </c>
      <c r="N36" s="411">
        <v>88.5</v>
      </c>
      <c r="O36" s="411">
        <v>7.96</v>
      </c>
      <c r="P36" s="480">
        <f t="shared" si="6"/>
        <v>265.75342465753425</v>
      </c>
      <c r="Q36" s="480">
        <f t="shared" si="7"/>
        <v>23.835616438356166</v>
      </c>
      <c r="R36" s="493">
        <v>35.299999999999997</v>
      </c>
      <c r="S36" s="411">
        <v>2.96</v>
      </c>
      <c r="T36" s="38" t="s">
        <v>352</v>
      </c>
      <c r="U36" s="77" t="s">
        <v>355</v>
      </c>
      <c r="V36" s="317" t="s">
        <v>354</v>
      </c>
      <c r="W36" s="21"/>
    </row>
    <row r="37" spans="1:25" ht="13" x14ac:dyDescent="0.3">
      <c r="B37" s="316">
        <v>10</v>
      </c>
      <c r="C37" s="160" t="s">
        <v>293</v>
      </c>
      <c r="D37" s="49" t="s">
        <v>91</v>
      </c>
      <c r="E37" s="52" t="s">
        <v>335</v>
      </c>
      <c r="F37" s="52">
        <v>250</v>
      </c>
      <c r="G37" s="52">
        <v>250</v>
      </c>
      <c r="H37" s="25">
        <v>34.700000000000003</v>
      </c>
      <c r="I37" s="25">
        <v>1.84</v>
      </c>
      <c r="J37" s="411">
        <f t="shared" si="10"/>
        <v>11.566666666666668</v>
      </c>
      <c r="K37" s="411">
        <f t="shared" si="11"/>
        <v>0.6133333333333334</v>
      </c>
      <c r="L37" s="496">
        <f t="shared" si="2"/>
        <v>34.700000000000003</v>
      </c>
      <c r="M37" s="496">
        <f t="shared" si="3"/>
        <v>1.84</v>
      </c>
      <c r="N37" s="24">
        <v>7.9</v>
      </c>
      <c r="O37" s="24">
        <v>0.42</v>
      </c>
      <c r="P37" s="480">
        <f t="shared" si="6"/>
        <v>23.767123287671232</v>
      </c>
      <c r="Q37" s="480">
        <f t="shared" si="7"/>
        <v>1.2602739726027397</v>
      </c>
      <c r="R37" s="24">
        <v>3.13</v>
      </c>
      <c r="S37" s="24">
        <v>0.15</v>
      </c>
      <c r="T37" s="38" t="s">
        <v>352</v>
      </c>
      <c r="U37" s="77" t="s">
        <v>355</v>
      </c>
      <c r="V37" s="317" t="s">
        <v>354</v>
      </c>
      <c r="W37" s="21"/>
    </row>
    <row r="38" spans="1:25" ht="13" x14ac:dyDescent="0.3">
      <c r="B38" s="316">
        <v>10</v>
      </c>
      <c r="C38" s="160" t="s">
        <v>293</v>
      </c>
      <c r="D38" s="49" t="s">
        <v>88</v>
      </c>
      <c r="E38" s="52" t="s">
        <v>335</v>
      </c>
      <c r="F38" s="270">
        <v>250</v>
      </c>
      <c r="G38" s="270">
        <v>250</v>
      </c>
      <c r="H38" s="25">
        <v>57.2</v>
      </c>
      <c r="I38" s="162">
        <v>3.33</v>
      </c>
      <c r="J38" s="411">
        <f t="shared" si="10"/>
        <v>19.066666666666666</v>
      </c>
      <c r="K38" s="411">
        <f t="shared" si="11"/>
        <v>1.1100000000000001</v>
      </c>
      <c r="L38" s="496">
        <f t="shared" si="2"/>
        <v>57.2</v>
      </c>
      <c r="M38" s="496">
        <f t="shared" si="3"/>
        <v>3.33</v>
      </c>
      <c r="N38" s="24">
        <v>13.1</v>
      </c>
      <c r="O38" s="24">
        <v>0.76</v>
      </c>
      <c r="P38" s="480">
        <f t="shared" si="6"/>
        <v>39.178082191780824</v>
      </c>
      <c r="Q38" s="480">
        <f t="shared" si="7"/>
        <v>2.2808219178082192</v>
      </c>
      <c r="R38" s="24">
        <v>5.15</v>
      </c>
      <c r="S38" s="24">
        <v>0.28000000000000003</v>
      </c>
      <c r="T38" s="38" t="s">
        <v>352</v>
      </c>
      <c r="U38" s="77" t="s">
        <v>355</v>
      </c>
      <c r="V38" s="317" t="s">
        <v>354</v>
      </c>
      <c r="W38" s="21"/>
    </row>
    <row r="39" spans="1:25" ht="13" x14ac:dyDescent="0.3">
      <c r="B39" s="433" t="s">
        <v>341</v>
      </c>
      <c r="C39" s="160" t="s">
        <v>291</v>
      </c>
      <c r="D39" s="561" t="s">
        <v>91</v>
      </c>
      <c r="E39" s="52" t="s">
        <v>335</v>
      </c>
      <c r="F39" s="52">
        <v>250</v>
      </c>
      <c r="G39" s="52">
        <v>250</v>
      </c>
      <c r="H39" s="38">
        <v>1878</v>
      </c>
      <c r="I39" s="38">
        <v>23.3</v>
      </c>
      <c r="J39" s="411">
        <f t="shared" si="10"/>
        <v>626</v>
      </c>
      <c r="K39" s="411">
        <f t="shared" si="11"/>
        <v>7.7666666666666666</v>
      </c>
      <c r="L39" s="496">
        <f t="shared" si="2"/>
        <v>1878</v>
      </c>
      <c r="M39" s="496">
        <f t="shared" si="3"/>
        <v>23.3</v>
      </c>
      <c r="N39" s="493">
        <v>428.8</v>
      </c>
      <c r="O39" s="411">
        <v>5.33</v>
      </c>
      <c r="P39" s="480">
        <f t="shared" si="6"/>
        <v>1286.3013698630136</v>
      </c>
      <c r="Q39" s="480">
        <f t="shared" si="7"/>
        <v>15.95890410958904</v>
      </c>
      <c r="R39" s="493">
        <v>168.3</v>
      </c>
      <c r="S39" s="411">
        <v>3.61</v>
      </c>
      <c r="T39" s="38" t="s">
        <v>352</v>
      </c>
      <c r="U39" s="77" t="s">
        <v>355</v>
      </c>
      <c r="V39" s="317" t="s">
        <v>354</v>
      </c>
      <c r="W39" s="21"/>
    </row>
    <row r="40" spans="1:25" ht="13" x14ac:dyDescent="0.3">
      <c r="B40" s="433" t="s">
        <v>341</v>
      </c>
      <c r="C40" s="561" t="s">
        <v>291</v>
      </c>
      <c r="D40" s="561" t="s">
        <v>88</v>
      </c>
      <c r="E40" s="52" t="s">
        <v>335</v>
      </c>
      <c r="F40" s="270">
        <v>250</v>
      </c>
      <c r="G40" s="270">
        <v>250</v>
      </c>
      <c r="H40" s="159">
        <v>3043</v>
      </c>
      <c r="I40" s="209">
        <v>40.799999999999997</v>
      </c>
      <c r="J40" s="411">
        <f t="shared" si="10"/>
        <v>1014.3333333333334</v>
      </c>
      <c r="K40" s="411">
        <f t="shared" si="11"/>
        <v>13.6</v>
      </c>
      <c r="L40" s="496">
        <f t="shared" si="2"/>
        <v>3043</v>
      </c>
      <c r="M40" s="496">
        <f t="shared" si="3"/>
        <v>40.799999999999997</v>
      </c>
      <c r="N40" s="493">
        <v>694.8</v>
      </c>
      <c r="O40" s="493">
        <v>9.32</v>
      </c>
      <c r="P40" s="480">
        <f t="shared" si="6"/>
        <v>2084.2465753424658</v>
      </c>
      <c r="Q40" s="480">
        <f t="shared" si="7"/>
        <v>27.945205479452056</v>
      </c>
      <c r="R40" s="493">
        <v>275.2</v>
      </c>
      <c r="S40" s="411">
        <v>5.33</v>
      </c>
      <c r="T40" s="210" t="s">
        <v>352</v>
      </c>
      <c r="U40" s="211" t="s">
        <v>355</v>
      </c>
      <c r="V40" s="318" t="s">
        <v>354</v>
      </c>
      <c r="W40" s="21"/>
    </row>
    <row r="41" spans="1:25" ht="39" x14ac:dyDescent="0.3">
      <c r="B41" s="433">
        <v>13</v>
      </c>
      <c r="C41" s="24" t="s">
        <v>303</v>
      </c>
      <c r="D41" s="24" t="s">
        <v>88</v>
      </c>
      <c r="E41" s="52" t="s">
        <v>335</v>
      </c>
      <c r="F41" s="52">
        <v>250</v>
      </c>
      <c r="G41" s="52">
        <v>250</v>
      </c>
      <c r="H41" s="163">
        <v>0.26</v>
      </c>
      <c r="I41" s="163">
        <v>7.0000000000000007E-2</v>
      </c>
      <c r="J41" s="411">
        <f t="shared" si="10"/>
        <v>8.666666666666667E-2</v>
      </c>
      <c r="K41" s="411">
        <f t="shared" si="11"/>
        <v>2.3333333333333334E-2</v>
      </c>
      <c r="L41" s="496">
        <f t="shared" si="2"/>
        <v>0.26</v>
      </c>
      <c r="M41" s="496">
        <f t="shared" si="3"/>
        <v>7.0000000000000007E-2</v>
      </c>
      <c r="N41" s="24">
        <v>0.06</v>
      </c>
      <c r="O41" s="24">
        <v>1.6E-2</v>
      </c>
      <c r="P41" s="480">
        <f t="shared" si="6"/>
        <v>0.17808219178082191</v>
      </c>
      <c r="Q41" s="480">
        <f t="shared" si="7"/>
        <v>4.7945205479452052E-2</v>
      </c>
      <c r="R41" s="24">
        <v>0.03</v>
      </c>
      <c r="S41" s="24">
        <v>6.0000000000000001E-3</v>
      </c>
      <c r="T41" s="38" t="s">
        <v>352</v>
      </c>
      <c r="U41" s="77" t="s">
        <v>356</v>
      </c>
      <c r="V41" s="317" t="s">
        <v>354</v>
      </c>
      <c r="W41" s="21"/>
    </row>
    <row r="42" spans="1:25" ht="13" x14ac:dyDescent="0.3">
      <c r="B42" s="544" t="s">
        <v>346</v>
      </c>
      <c r="C42" s="160" t="s">
        <v>302</v>
      </c>
      <c r="D42" s="160" t="s">
        <v>91</v>
      </c>
      <c r="E42" s="362" t="s">
        <v>335</v>
      </c>
      <c r="F42" s="547">
        <v>293</v>
      </c>
      <c r="G42" s="547">
        <v>258</v>
      </c>
      <c r="H42" s="411">
        <v>1.7437270257186532</v>
      </c>
      <c r="I42" s="411">
        <v>0.47937392347468338</v>
      </c>
      <c r="J42" s="411">
        <v>0.58124234190621771</v>
      </c>
      <c r="K42" s="411">
        <v>0.15979130782489445</v>
      </c>
      <c r="L42" s="496">
        <f t="shared" si="2"/>
        <v>1.7437270257186532</v>
      </c>
      <c r="M42" s="496">
        <f t="shared" si="3"/>
        <v>0.47937392347468338</v>
      </c>
      <c r="N42" s="494">
        <v>0.41077423537054469</v>
      </c>
      <c r="O42" s="494">
        <v>0.11280556843108118</v>
      </c>
      <c r="P42" s="480">
        <v>1.2323227061116342</v>
      </c>
      <c r="Q42" s="480">
        <v>0.33841670529324358</v>
      </c>
      <c r="R42" s="494">
        <v>0.16302580206824938</v>
      </c>
      <c r="S42" s="494">
        <v>4.2340613418723437E-2</v>
      </c>
      <c r="T42" s="160" t="s">
        <v>352</v>
      </c>
      <c r="U42" s="362" t="s">
        <v>357</v>
      </c>
      <c r="V42" s="317" t="s">
        <v>354</v>
      </c>
      <c r="W42" s="21"/>
    </row>
    <row r="43" spans="1:25" ht="13" x14ac:dyDescent="0.3">
      <c r="B43" s="442" t="s">
        <v>346</v>
      </c>
      <c r="C43" s="561" t="s">
        <v>302</v>
      </c>
      <c r="D43" s="561" t="s">
        <v>88</v>
      </c>
      <c r="E43" s="52" t="s">
        <v>335</v>
      </c>
      <c r="F43" s="270">
        <v>293</v>
      </c>
      <c r="G43" s="270">
        <v>258</v>
      </c>
      <c r="H43" s="411">
        <v>2.7501686002651389</v>
      </c>
      <c r="I43" s="411">
        <v>0.96207902477632934</v>
      </c>
      <c r="J43" s="411">
        <v>0.91672286675504633</v>
      </c>
      <c r="K43" s="411">
        <v>0.32069300825877645</v>
      </c>
      <c r="L43" s="496">
        <f t="shared" si="2"/>
        <v>2.7501686002651389</v>
      </c>
      <c r="M43" s="496">
        <f t="shared" si="3"/>
        <v>0.96207902477632934</v>
      </c>
      <c r="N43" s="528">
        <v>0.64949719365001934</v>
      </c>
      <c r="O43" s="494">
        <v>0.22627163919987608</v>
      </c>
      <c r="P43" s="480">
        <v>1.948491580950058</v>
      </c>
      <c r="Q43" s="480">
        <v>0.6788149175996282</v>
      </c>
      <c r="R43" s="528">
        <v>0.26301095178578932</v>
      </c>
      <c r="S43" s="494">
        <v>8.4181628744240788E-2</v>
      </c>
      <c r="T43" s="210" t="s">
        <v>352</v>
      </c>
      <c r="U43" s="362" t="s">
        <v>357</v>
      </c>
      <c r="V43" s="318" t="s">
        <v>354</v>
      </c>
      <c r="W43" s="120"/>
    </row>
    <row r="44" spans="1:25" ht="13" x14ac:dyDescent="0.3">
      <c r="B44" s="434" t="s">
        <v>346</v>
      </c>
      <c r="C44" s="160" t="s">
        <v>298</v>
      </c>
      <c r="D44" s="160" t="s">
        <v>91</v>
      </c>
      <c r="E44" s="362" t="s">
        <v>335</v>
      </c>
      <c r="F44" s="363">
        <v>293</v>
      </c>
      <c r="G44" s="363">
        <v>258</v>
      </c>
      <c r="H44" s="491">
        <v>1.7437270257186532</v>
      </c>
      <c r="I44" s="491">
        <v>0.47937392347468338</v>
      </c>
      <c r="J44" s="491">
        <v>0.58124234190621771</v>
      </c>
      <c r="K44" s="491">
        <v>0.15979130782489445</v>
      </c>
      <c r="L44" s="496">
        <f t="shared" si="2"/>
        <v>1.7437270257186532</v>
      </c>
      <c r="M44" s="496">
        <f t="shared" si="3"/>
        <v>0.47937392347468338</v>
      </c>
      <c r="N44" s="494">
        <v>0.41077423537054469</v>
      </c>
      <c r="O44" s="494">
        <v>0.11280556843108118</v>
      </c>
      <c r="P44" s="480">
        <v>1.2323227061116342</v>
      </c>
      <c r="Q44" s="480">
        <v>0.33841670529324358</v>
      </c>
      <c r="R44" s="494">
        <v>0.16302580206824938</v>
      </c>
      <c r="S44" s="494">
        <v>4.2340613418723437E-2</v>
      </c>
      <c r="T44" s="160" t="s">
        <v>352</v>
      </c>
      <c r="U44" s="362" t="s">
        <v>358</v>
      </c>
      <c r="V44" s="317" t="s">
        <v>354</v>
      </c>
      <c r="W44" s="21"/>
    </row>
    <row r="45" spans="1:25" ht="13" x14ac:dyDescent="0.3">
      <c r="B45" s="433" t="s">
        <v>346</v>
      </c>
      <c r="C45" s="561" t="s">
        <v>298</v>
      </c>
      <c r="D45" s="561" t="s">
        <v>88</v>
      </c>
      <c r="E45" s="52" t="s">
        <v>335</v>
      </c>
      <c r="F45" s="52">
        <v>293</v>
      </c>
      <c r="G45" s="52">
        <v>258</v>
      </c>
      <c r="H45" s="411">
        <v>2.7501686002651389</v>
      </c>
      <c r="I45" s="411">
        <v>0.96207902477632934</v>
      </c>
      <c r="J45" s="411">
        <v>0.91672286675504633</v>
      </c>
      <c r="K45" s="411">
        <v>0.32069300825877645</v>
      </c>
      <c r="L45" s="496">
        <f t="shared" si="2"/>
        <v>2.7501686002651389</v>
      </c>
      <c r="M45" s="496">
        <f t="shared" si="3"/>
        <v>0.96207902477632934</v>
      </c>
      <c r="N45" s="494">
        <v>0.64949719365001934</v>
      </c>
      <c r="O45" s="494">
        <v>0.22627163919987608</v>
      </c>
      <c r="P45" s="480">
        <v>1.948491580950058</v>
      </c>
      <c r="Q45" s="480">
        <v>0.6788149175996282</v>
      </c>
      <c r="R45" s="494">
        <v>0.26301095178578932</v>
      </c>
      <c r="S45" s="494">
        <v>8.4181628744240788E-2</v>
      </c>
      <c r="T45" s="210" t="s">
        <v>352</v>
      </c>
      <c r="U45" s="362" t="s">
        <v>358</v>
      </c>
      <c r="V45" s="318" t="s">
        <v>354</v>
      </c>
      <c r="W45" s="101"/>
    </row>
    <row r="46" spans="1:25" ht="13" x14ac:dyDescent="0.3">
      <c r="B46" s="316" t="s">
        <v>359</v>
      </c>
      <c r="C46" s="24" t="s">
        <v>292</v>
      </c>
      <c r="D46" s="24" t="s">
        <v>91</v>
      </c>
      <c r="E46" s="52" t="s">
        <v>335</v>
      </c>
      <c r="F46" s="52">
        <v>250</v>
      </c>
      <c r="G46" s="52">
        <v>250</v>
      </c>
      <c r="H46" s="163">
        <v>9.5653137572218316</v>
      </c>
      <c r="I46" s="163">
        <v>3.1268989669902614</v>
      </c>
      <c r="J46" s="411">
        <f>IFERROR((H46*IF(E46="8-hr",ED_8,ED_12)/AT),"--")</f>
        <v>3.188437919073944</v>
      </c>
      <c r="K46" s="411">
        <f>IFERROR((I46*IF(E46="8-hr",ED_8,ED_12)/AT),"--")</f>
        <v>1.0422996556634205</v>
      </c>
      <c r="L46" s="496">
        <f t="shared" si="2"/>
        <v>9.5653137572218316</v>
      </c>
      <c r="M46" s="496">
        <f t="shared" si="3"/>
        <v>3.1268989669902614</v>
      </c>
      <c r="N46" s="364">
        <v>2.1838615884068107</v>
      </c>
      <c r="O46" s="364">
        <v>0.71390387374206887</v>
      </c>
      <c r="P46" s="480">
        <f>IFERROR((((H46*IF(E46="8-hr",ED_8,ED_12)/IF(E46="8-hr",ED_8,ED_12)))*G46*WY_high)/(365*WY_high),"--")</f>
        <v>6.5515847652204329</v>
      </c>
      <c r="Q46" s="480">
        <f>IFERROR(((I46*IF(E46="8-hr",ED_8,ED_12)/IF(E46="8-hr",ED_8,ED_12))*G46*WY_high)/(365*WY_high),"--")</f>
        <v>2.1417116212262064</v>
      </c>
      <c r="R46" s="364">
        <v>0.87155767051488742</v>
      </c>
      <c r="S46" s="364">
        <v>0.26902377312121234</v>
      </c>
      <c r="T46" s="38" t="s">
        <v>352</v>
      </c>
      <c r="U46" s="77" t="s">
        <v>360</v>
      </c>
      <c r="V46" s="317" t="s">
        <v>354</v>
      </c>
      <c r="W46" s="101"/>
    </row>
    <row r="47" spans="1:25" ht="15" thickBot="1" x14ac:dyDescent="0.35">
      <c r="A47" s="89"/>
      <c r="B47" s="356" t="s">
        <v>359</v>
      </c>
      <c r="C47" s="357" t="s">
        <v>292</v>
      </c>
      <c r="D47" s="357" t="s">
        <v>88</v>
      </c>
      <c r="E47" s="272" t="s">
        <v>335</v>
      </c>
      <c r="F47" s="272">
        <v>250</v>
      </c>
      <c r="G47" s="272">
        <v>250</v>
      </c>
      <c r="H47" s="222">
        <v>14.139357914116205</v>
      </c>
      <c r="I47" s="366">
        <v>5.9444563989329398</v>
      </c>
      <c r="J47" s="492">
        <f>IFERROR((H47*IF(E47="8-hr",ED_8,ED_12)/AT),"--")</f>
        <v>4.7131193047054021</v>
      </c>
      <c r="K47" s="492">
        <f>IFERROR((I47*IF(E47="8-hr",ED_8,ED_12)/AT),"--")</f>
        <v>1.98148546631098</v>
      </c>
      <c r="L47" s="481">
        <f t="shared" si="2"/>
        <v>14.139357914116205</v>
      </c>
      <c r="M47" s="481">
        <f t="shared" si="3"/>
        <v>5.9444563989329398</v>
      </c>
      <c r="N47" s="495">
        <v>3.2281639073324664</v>
      </c>
      <c r="O47" s="495">
        <v>1.3571818262403972</v>
      </c>
      <c r="P47" s="501">
        <f>IFERROR((((H47*IF(E47="8-hr",ED_8,ED_12)/IF(E47="8-hr",ED_8,ED_12)))*G47*WY_high)/(365*WY_high),"--")</f>
        <v>9.6844917219974</v>
      </c>
      <c r="Q47" s="501">
        <f>IFERROR(((I47*IF(E47="8-hr",ED_8,ED_12)/IF(E47="8-hr",ED_8,ED_12))*G47*WY_high)/(365*WY_high),"--")</f>
        <v>4.071545478721192</v>
      </c>
      <c r="R47" s="495">
        <v>1.320504561957222</v>
      </c>
      <c r="S47" s="495">
        <v>0.51352644326389651</v>
      </c>
      <c r="T47" s="358" t="s">
        <v>352</v>
      </c>
      <c r="U47" s="359" t="s">
        <v>360</v>
      </c>
      <c r="V47" s="360" t="s">
        <v>354</v>
      </c>
      <c r="W47" s="21"/>
    </row>
    <row r="48" spans="1:25" x14ac:dyDescent="0.35">
      <c r="A48" s="470"/>
      <c r="B48" s="119"/>
      <c r="C48" s="120"/>
      <c r="D48" s="119"/>
      <c r="E48" s="119"/>
      <c r="F48" s="119"/>
      <c r="G48" s="119"/>
      <c r="H48" s="119"/>
      <c r="I48" s="119"/>
      <c r="J48" s="119"/>
      <c r="K48" s="119"/>
      <c r="L48" s="119"/>
      <c r="M48" s="119"/>
      <c r="N48" s="119"/>
      <c r="O48" s="119"/>
      <c r="P48" s="119"/>
      <c r="Q48" s="119"/>
      <c r="R48" s="2"/>
      <c r="S48" s="2"/>
      <c r="T48" s="119"/>
      <c r="U48" s="21"/>
      <c r="V48" s="21"/>
      <c r="W48" s="21"/>
      <c r="X48" s="120"/>
      <c r="Y48" s="119"/>
    </row>
    <row r="49" spans="1:25" x14ac:dyDescent="0.35">
      <c r="A49" s="470"/>
      <c r="B49" s="119"/>
      <c r="C49" s="120"/>
      <c r="D49" s="119"/>
      <c r="E49" s="119"/>
      <c r="F49" s="119"/>
      <c r="G49" s="119"/>
      <c r="H49" s="119"/>
      <c r="I49" s="119"/>
      <c r="J49" s="119"/>
      <c r="K49" s="119"/>
      <c r="L49" s="119"/>
      <c r="M49" s="119"/>
      <c r="N49" s="119"/>
      <c r="O49" s="119"/>
      <c r="P49" s="119"/>
      <c r="Q49" s="119"/>
      <c r="R49" s="2"/>
      <c r="S49" s="2"/>
      <c r="T49" s="119"/>
      <c r="U49" s="21"/>
      <c r="V49" s="21"/>
      <c r="W49" s="21"/>
      <c r="X49" s="120"/>
      <c r="Y49" s="119"/>
    </row>
    <row r="50" spans="1:25" x14ac:dyDescent="0.35">
      <c r="A50" s="470"/>
      <c r="B50" s="119"/>
      <c r="C50" s="120"/>
      <c r="D50" s="119"/>
      <c r="E50" s="119"/>
      <c r="F50" s="119"/>
      <c r="G50" s="119"/>
      <c r="H50" s="119"/>
      <c r="I50" s="119"/>
      <c r="J50" s="119"/>
      <c r="K50" s="119"/>
      <c r="L50" s="119"/>
      <c r="M50" s="119"/>
      <c r="N50" s="119"/>
      <c r="O50" s="119"/>
      <c r="P50" s="119"/>
      <c r="Q50" s="119"/>
      <c r="R50" s="2"/>
      <c r="S50" s="2"/>
      <c r="T50" s="119"/>
      <c r="U50" s="21"/>
      <c r="V50" s="21"/>
      <c r="W50" s="21"/>
      <c r="X50" s="120"/>
      <c r="Y50" s="119"/>
    </row>
    <row r="51" spans="1:25" x14ac:dyDescent="0.35">
      <c r="A51" s="470"/>
      <c r="B51" s="119"/>
      <c r="C51" s="120"/>
      <c r="D51" s="119"/>
      <c r="E51" s="119"/>
      <c r="F51" s="119"/>
      <c r="G51" s="119"/>
      <c r="H51" s="119"/>
      <c r="I51" s="119"/>
      <c r="J51" s="119"/>
      <c r="K51" s="119"/>
      <c r="L51" s="119"/>
      <c r="M51" s="119"/>
      <c r="N51" s="119"/>
      <c r="O51" s="119"/>
      <c r="P51" s="119"/>
      <c r="Q51" s="119"/>
      <c r="R51" s="2"/>
      <c r="S51" s="2"/>
      <c r="T51" s="119"/>
      <c r="U51" s="21"/>
      <c r="V51" s="21"/>
      <c r="W51" s="21"/>
      <c r="X51" s="120"/>
      <c r="Y51" s="119"/>
    </row>
    <row r="52" spans="1:25" x14ac:dyDescent="0.35">
      <c r="A52" s="470"/>
      <c r="B52" s="119"/>
      <c r="C52" s="120"/>
      <c r="D52" s="119"/>
      <c r="E52" s="119"/>
      <c r="F52" s="119"/>
      <c r="G52" s="119"/>
      <c r="H52" s="119"/>
      <c r="I52" s="119"/>
      <c r="J52" s="119"/>
      <c r="K52" s="119"/>
      <c r="L52" s="119"/>
      <c r="M52" s="119"/>
      <c r="N52" s="119"/>
      <c r="O52" s="119"/>
      <c r="P52" s="119"/>
      <c r="Q52" s="119"/>
      <c r="R52" s="2"/>
      <c r="S52" s="2"/>
      <c r="T52" s="119"/>
      <c r="U52" s="21"/>
      <c r="V52" s="21"/>
      <c r="W52" s="21"/>
      <c r="X52" s="120"/>
      <c r="Y52" s="119"/>
    </row>
    <row r="53" spans="1:25" x14ac:dyDescent="0.35">
      <c r="A53" s="470"/>
      <c r="B53" s="119"/>
      <c r="C53" s="120"/>
      <c r="D53" s="119"/>
      <c r="E53" s="119"/>
      <c r="F53" s="119"/>
      <c r="G53" s="119"/>
      <c r="H53" s="119"/>
      <c r="I53" s="119"/>
      <c r="J53" s="119"/>
      <c r="K53" s="119"/>
      <c r="L53" s="119"/>
      <c r="M53" s="119"/>
      <c r="N53" s="119"/>
      <c r="O53" s="119"/>
      <c r="P53" s="119"/>
      <c r="Q53" s="119"/>
      <c r="R53" s="2"/>
      <c r="S53" s="2"/>
      <c r="T53" s="119"/>
      <c r="U53" s="21"/>
      <c r="V53" s="21"/>
      <c r="W53" s="21"/>
      <c r="X53" s="120"/>
      <c r="Y53" s="119"/>
    </row>
    <row r="54" spans="1:25" x14ac:dyDescent="0.35">
      <c r="A54" s="470"/>
      <c r="B54" s="119"/>
      <c r="C54" s="120"/>
      <c r="D54" s="119"/>
      <c r="E54" s="498"/>
      <c r="F54" s="498"/>
      <c r="G54" s="498"/>
      <c r="H54" s="498"/>
      <c r="I54" s="119"/>
      <c r="J54" s="119"/>
      <c r="K54" s="119"/>
      <c r="L54" s="119"/>
      <c r="M54" s="119"/>
      <c r="N54" s="119"/>
      <c r="O54" s="119"/>
      <c r="P54" s="119"/>
      <c r="Q54" s="119"/>
      <c r="R54" s="2"/>
      <c r="S54" s="2"/>
      <c r="T54" s="119"/>
      <c r="U54" s="21"/>
      <c r="V54" s="21"/>
      <c r="W54" s="21"/>
      <c r="X54" s="120"/>
      <c r="Y54" s="119"/>
    </row>
    <row r="55" spans="1:25" x14ac:dyDescent="0.35">
      <c r="A55" s="470"/>
      <c r="B55" s="21"/>
      <c r="C55" s="68"/>
      <c r="D55" s="21"/>
      <c r="E55" s="499"/>
      <c r="F55" s="500"/>
      <c r="G55" s="500"/>
      <c r="H55" s="499"/>
      <c r="I55" s="21"/>
      <c r="J55" s="21"/>
      <c r="K55" s="21"/>
      <c r="L55" s="21"/>
      <c r="M55" s="21"/>
      <c r="N55" s="21"/>
      <c r="O55" s="21"/>
      <c r="P55" s="21"/>
      <c r="Q55" s="21"/>
      <c r="R55" s="2"/>
      <c r="S55" s="2"/>
      <c r="T55" s="21"/>
      <c r="U55" s="21"/>
      <c r="V55" s="21"/>
      <c r="W55" s="21"/>
      <c r="X55" s="68"/>
      <c r="Y55" s="21"/>
    </row>
    <row r="56" spans="1:25" x14ac:dyDescent="0.35">
      <c r="A56" s="470"/>
      <c r="B56" s="21"/>
      <c r="C56" s="68"/>
      <c r="D56" s="21"/>
      <c r="E56" s="499"/>
      <c r="F56" s="500"/>
      <c r="G56" s="500"/>
      <c r="H56" s="499"/>
      <c r="I56" s="21"/>
      <c r="J56" s="21"/>
      <c r="K56" s="21"/>
      <c r="L56" s="21"/>
      <c r="M56" s="21"/>
      <c r="N56" s="21"/>
      <c r="O56" s="21"/>
      <c r="P56" s="21"/>
      <c r="Q56" s="21"/>
      <c r="R56" s="2"/>
      <c r="S56" s="2"/>
      <c r="T56" s="21"/>
      <c r="U56" s="21"/>
      <c r="V56" s="21"/>
      <c r="W56" s="21"/>
      <c r="X56" s="68"/>
      <c r="Y56" s="21"/>
    </row>
    <row r="57" spans="1:25" x14ac:dyDescent="0.35">
      <c r="A57" s="470"/>
      <c r="B57" s="21"/>
      <c r="C57" s="68"/>
      <c r="D57" s="21"/>
      <c r="E57" s="499"/>
      <c r="F57" s="499"/>
      <c r="G57" s="499"/>
      <c r="H57" s="499"/>
      <c r="I57" s="21"/>
      <c r="J57" s="21"/>
      <c r="K57" s="21"/>
      <c r="L57" s="21"/>
      <c r="M57" s="21"/>
      <c r="N57" s="21"/>
      <c r="O57" s="21"/>
      <c r="P57" s="21"/>
      <c r="Q57" s="21"/>
      <c r="R57" s="2"/>
      <c r="S57" s="2"/>
      <c r="T57" s="21"/>
      <c r="U57" s="21"/>
      <c r="V57" s="21"/>
      <c r="W57" s="21"/>
      <c r="X57" s="68"/>
      <c r="Y57" s="21"/>
    </row>
    <row r="58" spans="1:25" x14ac:dyDescent="0.35">
      <c r="A58" s="470"/>
      <c r="B58" s="21"/>
      <c r="C58" s="68"/>
      <c r="D58" s="21"/>
      <c r="E58" s="21"/>
      <c r="F58" s="21"/>
      <c r="G58" s="21"/>
      <c r="H58" s="21"/>
      <c r="I58" s="21"/>
      <c r="J58" s="21"/>
      <c r="K58" s="21"/>
      <c r="L58" s="21"/>
      <c r="M58" s="21"/>
      <c r="N58" s="21"/>
      <c r="O58" s="21"/>
      <c r="P58" s="21"/>
      <c r="Q58" s="21"/>
      <c r="R58" s="2"/>
      <c r="S58" s="2"/>
      <c r="T58" s="21"/>
      <c r="U58" s="21"/>
      <c r="V58" s="21"/>
      <c r="W58" s="21"/>
      <c r="X58" s="68"/>
      <c r="Y58" s="21"/>
    </row>
    <row r="59" spans="1:25" x14ac:dyDescent="0.35">
      <c r="A59" s="470"/>
      <c r="B59" s="21"/>
      <c r="C59" s="68"/>
      <c r="D59" s="21"/>
      <c r="E59" s="21"/>
      <c r="F59" s="21"/>
      <c r="G59" s="21"/>
      <c r="H59" s="21"/>
      <c r="I59" s="21"/>
      <c r="J59" s="21"/>
      <c r="K59" s="21"/>
      <c r="L59" s="21"/>
      <c r="M59" s="21"/>
      <c r="N59" s="21"/>
      <c r="O59" s="21"/>
      <c r="P59" s="21"/>
      <c r="Q59" s="21"/>
      <c r="R59" s="2"/>
      <c r="S59" s="2"/>
      <c r="T59" s="21"/>
      <c r="U59" s="21"/>
      <c r="V59" s="21"/>
      <c r="W59" s="21"/>
      <c r="X59" s="68"/>
      <c r="Y59" s="21"/>
    </row>
    <row r="60" spans="1:25" x14ac:dyDescent="0.35">
      <c r="A60" s="470"/>
      <c r="B60" s="21"/>
      <c r="C60" s="68"/>
      <c r="D60" s="21"/>
      <c r="E60" s="21"/>
      <c r="F60" s="21"/>
      <c r="G60" s="21"/>
      <c r="H60" s="21"/>
      <c r="I60" s="21"/>
      <c r="J60" s="21"/>
      <c r="K60" s="21"/>
      <c r="L60" s="21"/>
      <c r="M60" s="21"/>
      <c r="N60" s="21"/>
      <c r="O60" s="21"/>
      <c r="P60" s="21"/>
      <c r="Q60" s="21"/>
      <c r="R60" s="2"/>
      <c r="S60" s="2"/>
      <c r="T60" s="21"/>
      <c r="U60" s="21"/>
      <c r="V60" s="21"/>
      <c r="W60" s="21"/>
      <c r="X60" s="68"/>
      <c r="Y60" s="21"/>
    </row>
    <row r="61" spans="1:25" x14ac:dyDescent="0.35">
      <c r="A61" s="470"/>
      <c r="B61" s="21"/>
      <c r="C61" s="68"/>
      <c r="D61" s="21"/>
      <c r="E61" s="21"/>
      <c r="F61" s="21"/>
      <c r="G61" s="21"/>
      <c r="H61" s="21"/>
      <c r="I61" s="21"/>
      <c r="J61" s="21"/>
      <c r="K61" s="21"/>
      <c r="L61" s="21"/>
      <c r="M61" s="21"/>
      <c r="N61" s="21"/>
      <c r="O61" s="21"/>
      <c r="P61" s="21"/>
      <c r="Q61" s="21"/>
      <c r="R61" s="2"/>
      <c r="S61" s="2"/>
      <c r="T61" s="21"/>
      <c r="U61" s="21"/>
      <c r="V61" s="21"/>
      <c r="W61" s="21"/>
      <c r="X61" s="68"/>
      <c r="Y61" s="21"/>
    </row>
    <row r="62" spans="1:25" x14ac:dyDescent="0.35">
      <c r="A62" s="470"/>
      <c r="B62" s="21"/>
      <c r="C62" s="68"/>
      <c r="D62" s="21"/>
      <c r="E62" s="21"/>
      <c r="F62" s="21"/>
      <c r="G62" s="21"/>
      <c r="H62" s="21"/>
      <c r="I62" s="21"/>
      <c r="J62" s="21"/>
      <c r="K62" s="21"/>
      <c r="L62" s="21"/>
      <c r="M62" s="21"/>
      <c r="N62" s="21"/>
      <c r="O62" s="21"/>
      <c r="P62" s="21"/>
      <c r="Q62" s="21"/>
      <c r="R62" s="2"/>
      <c r="S62" s="2"/>
      <c r="T62" s="21"/>
      <c r="U62" s="21"/>
      <c r="V62" s="21"/>
      <c r="W62" s="21"/>
      <c r="X62" s="68"/>
      <c r="Y62" s="21"/>
    </row>
    <row r="63" spans="1:25" x14ac:dyDescent="0.35">
      <c r="A63" s="470"/>
      <c r="B63" s="21"/>
      <c r="C63" s="68"/>
      <c r="D63" s="21"/>
      <c r="E63" s="21"/>
      <c r="F63" s="21"/>
      <c r="G63" s="21"/>
      <c r="H63" s="21"/>
      <c r="I63" s="21"/>
      <c r="J63" s="21"/>
      <c r="K63" s="21"/>
      <c r="L63" s="21"/>
      <c r="M63" s="21"/>
      <c r="N63" s="21"/>
      <c r="O63" s="21"/>
      <c r="P63" s="21"/>
      <c r="Q63" s="21"/>
      <c r="R63" s="2"/>
      <c r="S63" s="2"/>
      <c r="T63" s="21"/>
      <c r="U63" s="21"/>
      <c r="V63" s="21"/>
      <c r="W63" s="21"/>
      <c r="X63" s="68"/>
      <c r="Y63" s="21"/>
    </row>
    <row r="64" spans="1:25" x14ac:dyDescent="0.35">
      <c r="A64" s="470"/>
      <c r="B64" s="21"/>
      <c r="C64" s="68"/>
      <c r="D64" s="21"/>
      <c r="E64" s="21"/>
      <c r="F64" s="21"/>
      <c r="G64" s="21"/>
      <c r="H64" s="21"/>
      <c r="I64" s="21"/>
      <c r="J64" s="21"/>
      <c r="K64" s="21"/>
      <c r="L64" s="21"/>
      <c r="M64" s="21"/>
      <c r="N64" s="21"/>
      <c r="O64" s="21"/>
      <c r="P64" s="21"/>
      <c r="Q64" s="21"/>
      <c r="R64" s="2"/>
      <c r="S64" s="2"/>
      <c r="T64" s="21"/>
      <c r="U64" s="21"/>
      <c r="V64" s="21"/>
      <c r="W64" s="21"/>
      <c r="X64" s="68"/>
      <c r="Y64" s="21"/>
    </row>
    <row r="65" spans="1:25" ht="12.75" customHeight="1" x14ac:dyDescent="0.35">
      <c r="A65" s="470"/>
      <c r="B65" s="21"/>
      <c r="C65" s="68"/>
      <c r="D65" s="21"/>
      <c r="E65" s="21"/>
      <c r="F65" s="21"/>
      <c r="G65" s="21"/>
      <c r="H65" s="21"/>
      <c r="I65" s="21"/>
      <c r="J65" s="21"/>
      <c r="K65" s="21"/>
      <c r="L65" s="21"/>
      <c r="M65" s="21"/>
      <c r="N65" s="21"/>
      <c r="O65" s="21"/>
      <c r="P65" s="21"/>
      <c r="Q65" s="21"/>
      <c r="R65" s="2"/>
      <c r="S65" s="2"/>
      <c r="T65" s="21"/>
      <c r="U65" s="21"/>
      <c r="V65" s="21"/>
      <c r="W65" s="21"/>
      <c r="X65" s="68"/>
      <c r="Y65" s="21"/>
    </row>
    <row r="66" spans="1:25" x14ac:dyDescent="0.35">
      <c r="A66" s="470"/>
      <c r="B66" s="21"/>
      <c r="C66" s="68"/>
      <c r="D66" s="21"/>
      <c r="E66" s="21"/>
      <c r="F66" s="21"/>
      <c r="G66" s="21"/>
      <c r="H66" s="21"/>
      <c r="I66" s="21"/>
      <c r="J66" s="21"/>
      <c r="K66" s="21"/>
      <c r="L66" s="21"/>
      <c r="M66" s="21"/>
      <c r="N66" s="21"/>
      <c r="O66" s="21"/>
      <c r="P66" s="21"/>
      <c r="Q66" s="21"/>
      <c r="R66" s="2"/>
      <c r="S66" s="2"/>
      <c r="T66" s="21"/>
      <c r="U66" s="21"/>
      <c r="V66" s="21"/>
      <c r="W66" s="21"/>
      <c r="X66" s="68"/>
      <c r="Y66" s="21"/>
    </row>
    <row r="67" spans="1:25" x14ac:dyDescent="0.35">
      <c r="A67" s="21"/>
      <c r="B67" s="21"/>
      <c r="C67" s="68"/>
      <c r="D67" s="21"/>
      <c r="E67" s="21"/>
      <c r="F67" s="21"/>
      <c r="G67" s="21"/>
      <c r="H67" s="21"/>
      <c r="I67" s="21"/>
      <c r="J67" s="21"/>
      <c r="K67" s="21"/>
      <c r="L67" s="21"/>
      <c r="M67" s="21"/>
      <c r="N67" s="21"/>
      <c r="O67" s="21"/>
      <c r="P67" s="21"/>
      <c r="Q67" s="21"/>
      <c r="R67" s="2"/>
      <c r="S67" s="2"/>
      <c r="T67" s="21"/>
      <c r="U67" s="21"/>
      <c r="V67" s="21"/>
      <c r="W67" s="21"/>
      <c r="X67" s="68"/>
      <c r="Y67" s="21"/>
    </row>
    <row r="68" spans="1:25" x14ac:dyDescent="0.35">
      <c r="A68" s="21"/>
      <c r="B68" s="21"/>
      <c r="C68" s="134"/>
      <c r="D68" s="21"/>
      <c r="E68" s="121"/>
      <c r="F68" s="121"/>
      <c r="G68" s="121"/>
      <c r="H68" s="21"/>
      <c r="I68" s="21"/>
      <c r="J68" s="21"/>
      <c r="K68" s="21"/>
      <c r="L68" s="21"/>
      <c r="M68" s="21"/>
      <c r="N68" s="466"/>
      <c r="O68" s="68"/>
      <c r="P68" s="68"/>
      <c r="Q68" s="68"/>
      <c r="R68" s="2"/>
      <c r="S68" s="2"/>
      <c r="T68" s="21"/>
      <c r="U68" s="21"/>
      <c r="X68" s="21"/>
      <c r="Y68" s="21"/>
    </row>
    <row r="69" spans="1:25" x14ac:dyDescent="0.35">
      <c r="C69" s="47"/>
      <c r="E69" s="36"/>
      <c r="F69" s="36"/>
      <c r="G69" s="36"/>
      <c r="N69" s="22"/>
      <c r="O69" s="20"/>
      <c r="P69" s="20"/>
      <c r="Q69" s="20"/>
      <c r="X69" s="23"/>
    </row>
    <row r="70" spans="1:25" x14ac:dyDescent="0.35">
      <c r="C70" s="47"/>
      <c r="D70" s="34"/>
      <c r="E70" s="36"/>
      <c r="F70" s="36"/>
      <c r="G70" s="36"/>
      <c r="N70" s="22"/>
      <c r="O70" s="20"/>
      <c r="P70" s="20"/>
      <c r="Q70" s="20"/>
      <c r="X70" s="23"/>
    </row>
    <row r="71" spans="1:25" x14ac:dyDescent="0.35">
      <c r="C71" s="47"/>
      <c r="D71" s="34"/>
      <c r="E71" s="36"/>
      <c r="F71" s="36"/>
      <c r="G71" s="36"/>
      <c r="H71" s="35"/>
      <c r="N71" s="20"/>
      <c r="O71" s="20"/>
      <c r="P71" s="20"/>
      <c r="Q71" s="20"/>
      <c r="X71" s="23"/>
    </row>
    <row r="72" spans="1:25" x14ac:dyDescent="0.35">
      <c r="C72" s="37"/>
      <c r="D72" s="89"/>
      <c r="E72" s="20"/>
      <c r="F72" s="20"/>
      <c r="G72" s="20"/>
      <c r="H72" s="20"/>
      <c r="O72" s="20"/>
      <c r="P72" s="20"/>
      <c r="Q72" s="20"/>
      <c r="X72" s="23"/>
    </row>
    <row r="73" spans="1:25" x14ac:dyDescent="0.35">
      <c r="C73" s="37"/>
      <c r="D73" s="89"/>
      <c r="E73" s="20"/>
      <c r="F73" s="20"/>
      <c r="G73" s="20"/>
      <c r="H73" s="20"/>
      <c r="O73" s="20"/>
      <c r="P73" s="20"/>
      <c r="Q73" s="20"/>
      <c r="X73" s="23"/>
    </row>
    <row r="74" spans="1:25" x14ac:dyDescent="0.35">
      <c r="C74" s="37"/>
      <c r="D74" s="89"/>
      <c r="E74" s="20"/>
      <c r="F74" s="20"/>
      <c r="G74" s="20"/>
      <c r="H74" s="20"/>
      <c r="O74" s="20"/>
      <c r="P74" s="20"/>
      <c r="Q74" s="20"/>
      <c r="X74" s="23"/>
    </row>
    <row r="75" spans="1:25" x14ac:dyDescent="0.35">
      <c r="C75" s="37"/>
      <c r="E75" s="20"/>
      <c r="F75" s="20"/>
      <c r="G75" s="20"/>
      <c r="H75" s="20"/>
      <c r="O75" s="22"/>
      <c r="P75" s="22"/>
      <c r="Q75" s="22"/>
      <c r="X75" s="23"/>
    </row>
    <row r="76" spans="1:25" x14ac:dyDescent="0.35">
      <c r="C76" s="23"/>
      <c r="E76" s="20"/>
      <c r="F76" s="20"/>
      <c r="G76" s="20"/>
      <c r="H76" s="20"/>
      <c r="X76" s="23"/>
    </row>
    <row r="77" spans="1:25" x14ac:dyDescent="0.35">
      <c r="C77" s="23"/>
      <c r="E77" s="20"/>
      <c r="F77" s="20"/>
      <c r="G77" s="20"/>
      <c r="H77" s="20"/>
      <c r="X77" s="22"/>
    </row>
    <row r="78" spans="1:25" x14ac:dyDescent="0.35">
      <c r="C78" s="23"/>
      <c r="E78" s="20"/>
      <c r="F78" s="20"/>
      <c r="G78" s="20"/>
      <c r="H78" s="20"/>
      <c r="X78" s="22"/>
    </row>
    <row r="79" spans="1:25" x14ac:dyDescent="0.35">
      <c r="C79" s="23"/>
    </row>
    <row r="80" spans="1:25" x14ac:dyDescent="0.35">
      <c r="C80" s="23"/>
    </row>
    <row r="81" spans="3:3" x14ac:dyDescent="0.35">
      <c r="C81" s="23"/>
    </row>
    <row r="82" spans="3:3" x14ac:dyDescent="0.35">
      <c r="C82" s="23"/>
    </row>
    <row r="100" spans="24:24" x14ac:dyDescent="0.35">
      <c r="X100" s="23"/>
    </row>
    <row r="101" spans="24:24" x14ac:dyDescent="0.35">
      <c r="X101" s="23"/>
    </row>
    <row r="102" spans="24:24" x14ac:dyDescent="0.35">
      <c r="X102" s="23"/>
    </row>
    <row r="103" spans="24:24" x14ac:dyDescent="0.35">
      <c r="X103" s="23"/>
    </row>
    <row r="104" spans="24:24" x14ac:dyDescent="0.35">
      <c r="X104" s="23"/>
    </row>
    <row r="105" spans="24:24" x14ac:dyDescent="0.35">
      <c r="X105" s="23"/>
    </row>
    <row r="106" spans="24:24" x14ac:dyDescent="0.35">
      <c r="X106" s="23"/>
    </row>
  </sheetData>
  <sheetProtection algorithmName="SHA-512" hashValue="FFD/pp5REGYTwd4L6k24MHdOIdHdHjxQkaMaVZkhZUkHZt9RyH9Y1M4UIJGb+d2oFo6Wo6mm/vLm5gI4ZMuOXw==" saltValue="8O9hrmnno38PPHxbaF12bA==" spinCount="100000" sheet="1" objects="1" scenarios="1"/>
  <autoFilter ref="B3:V3" xr:uid="{AA205BD8-1E95-40E9-A352-977E2A5481AC}">
    <sortState xmlns:xlrd2="http://schemas.microsoft.com/office/spreadsheetml/2017/richdata2" ref="B4:V47">
      <sortCondition descending="1" ref="V3"/>
    </sortState>
  </autoFilter>
  <mergeCells count="12">
    <mergeCell ref="P1:Q1"/>
    <mergeCell ref="P2:Q2"/>
    <mergeCell ref="R1:S1"/>
    <mergeCell ref="N1:O1"/>
    <mergeCell ref="R2:S2"/>
    <mergeCell ref="N2:O2"/>
    <mergeCell ref="L1:M1"/>
    <mergeCell ref="L2:M2"/>
    <mergeCell ref="J2:K2"/>
    <mergeCell ref="J1:K1"/>
    <mergeCell ref="H1:I1"/>
    <mergeCell ref="H2:I2"/>
  </mergeCells>
  <conditionalFormatting sqref="H41:I43 H8:I20 H35:I38 H25:I25 H27:I30 H22:I23 P4:S32 N25:O31 J13:K22 N4:O23 J43:K43 N43:S43 J24:K24 N24 H46:I46 J46:K47 N35:S41 N46:S47 N44:O45 R44:S45">
    <cfRule type="cellIs" dxfId="140" priority="142" operator="greaterThanOrEqual">
      <formula>0.01</formula>
    </cfRule>
    <cfRule type="cellIs" dxfId="139" priority="143" operator="lessThan">
      <formula>0.01</formula>
    </cfRule>
  </conditionalFormatting>
  <conditionalFormatting sqref="H4:I5">
    <cfRule type="cellIs" dxfId="138" priority="136" operator="greaterThanOrEqual">
      <formula>0.01</formula>
    </cfRule>
    <cfRule type="cellIs" dxfId="137" priority="137" operator="lessThan">
      <formula>0.01</formula>
    </cfRule>
  </conditionalFormatting>
  <conditionalFormatting sqref="H6:I7">
    <cfRule type="cellIs" dxfId="136" priority="123" operator="greaterThanOrEqual">
      <formula>0.01</formula>
    </cfRule>
    <cfRule type="cellIs" dxfId="135" priority="124" operator="lessThan">
      <formula>0.01</formula>
    </cfRule>
  </conditionalFormatting>
  <conditionalFormatting sqref="H31:I31">
    <cfRule type="cellIs" dxfId="134" priority="116" operator="greaterThanOrEqual">
      <formula>0.01</formula>
    </cfRule>
    <cfRule type="cellIs" dxfId="133" priority="117" operator="lessThan">
      <formula>0.01</formula>
    </cfRule>
  </conditionalFormatting>
  <conditionalFormatting sqref="H32:I32">
    <cfRule type="cellIs" dxfId="132" priority="104" operator="greaterThanOrEqual">
      <formula>0.01</formula>
    </cfRule>
    <cfRule type="cellIs" dxfId="131" priority="105" operator="lessThan">
      <formula>0.01</formula>
    </cfRule>
  </conditionalFormatting>
  <conditionalFormatting sqref="H24:I24">
    <cfRule type="cellIs" dxfId="130" priority="98" operator="greaterThanOrEqual">
      <formula>0.01</formula>
    </cfRule>
    <cfRule type="cellIs" dxfId="129" priority="99" operator="lessThan">
      <formula>0.01</formula>
    </cfRule>
  </conditionalFormatting>
  <conditionalFormatting sqref="H26:I26">
    <cfRule type="cellIs" dxfId="128" priority="90" operator="greaterThanOrEqual">
      <formula>0.01</formula>
    </cfRule>
    <cfRule type="cellIs" dxfId="127" priority="91" operator="lessThan">
      <formula>0.01</formula>
    </cfRule>
  </conditionalFormatting>
  <conditionalFormatting sqref="H21:I21">
    <cfRule type="cellIs" dxfId="126" priority="82" operator="greaterThanOrEqual">
      <formula>0.01</formula>
    </cfRule>
    <cfRule type="cellIs" dxfId="125" priority="83" operator="lessThan">
      <formula>0.01</formula>
    </cfRule>
  </conditionalFormatting>
  <conditionalFormatting sqref="J26:K31 P35:Q43 J35:K42 P5:Q32 P46:Q47">
    <cfRule type="cellIs" dxfId="124" priority="72" operator="greaterThanOrEqual">
      <formula>0.01</formula>
    </cfRule>
    <cfRule type="cellIs" dxfId="123" priority="73" operator="lessThan">
      <formula>0.01</formula>
    </cfRule>
  </conditionalFormatting>
  <conditionalFormatting sqref="J4:K5 J8:K11">
    <cfRule type="cellIs" dxfId="122" priority="70" operator="greaterThanOrEqual">
      <formula>0.01</formula>
    </cfRule>
    <cfRule type="cellIs" dxfId="121" priority="71" operator="lessThan">
      <formula>0.01</formula>
    </cfRule>
  </conditionalFormatting>
  <conditionalFormatting sqref="J24">
    <cfRule type="cellIs" dxfId="120" priority="66" operator="greaterThanOrEqual">
      <formula>0.01</formula>
    </cfRule>
    <cfRule type="cellIs" dxfId="119" priority="67" operator="lessThan">
      <formula>0.01</formula>
    </cfRule>
  </conditionalFormatting>
  <conditionalFormatting sqref="N24:O24 R24">
    <cfRule type="cellIs" dxfId="118" priority="65" operator="lessThan">
      <formula>0.01</formula>
    </cfRule>
  </conditionalFormatting>
  <conditionalFormatting sqref="J12:K12">
    <cfRule type="cellIs" dxfId="117" priority="59" operator="greaterThanOrEqual">
      <formula>0.01</formula>
    </cfRule>
    <cfRule type="cellIs" dxfId="116" priority="60" operator="lessThan">
      <formula>0.01</formula>
    </cfRule>
  </conditionalFormatting>
  <conditionalFormatting sqref="J23:K23">
    <cfRule type="cellIs" dxfId="115" priority="55" operator="greaterThanOrEqual">
      <formula>0.01</formula>
    </cfRule>
    <cfRule type="cellIs" dxfId="114" priority="56" operator="lessThan">
      <formula>0.01</formula>
    </cfRule>
  </conditionalFormatting>
  <conditionalFormatting sqref="J25:K25">
    <cfRule type="cellIs" dxfId="113" priority="51" operator="greaterThanOrEqual">
      <formula>0.01</formula>
    </cfRule>
    <cfRule type="cellIs" dxfId="112" priority="52" operator="lessThan">
      <formula>0.01</formula>
    </cfRule>
  </conditionalFormatting>
  <conditionalFormatting sqref="J6:K7">
    <cfRule type="cellIs" dxfId="111" priority="47" operator="greaterThanOrEqual">
      <formula>0.01</formula>
    </cfRule>
    <cfRule type="cellIs" dxfId="110" priority="48" operator="lessThan">
      <formula>0.01</formula>
    </cfRule>
  </conditionalFormatting>
  <conditionalFormatting sqref="J32:K32">
    <cfRule type="cellIs" dxfId="109" priority="28" operator="greaterThanOrEqual">
      <formula>0.01</formula>
    </cfRule>
    <cfRule type="cellIs" dxfId="108" priority="29" operator="lessThan">
      <formula>0.01</formula>
    </cfRule>
  </conditionalFormatting>
  <conditionalFormatting sqref="N32:O32">
    <cfRule type="cellIs" dxfId="107" priority="27" operator="lessThan">
      <formula>0.01</formula>
    </cfRule>
    <cfRule type="cellIs" dxfId="106" priority="30" operator="greaterThanOrEqual">
      <formula>0.01</formula>
    </cfRule>
  </conditionalFormatting>
  <conditionalFormatting sqref="L4:M32 L35:M47">
    <cfRule type="cellIs" dxfId="105" priority="25" operator="greaterThanOrEqual">
      <formula>0.01</formula>
    </cfRule>
    <cfRule type="cellIs" dxfId="104" priority="26" operator="lessThan">
      <formula>0.01</formula>
    </cfRule>
  </conditionalFormatting>
  <conditionalFormatting sqref="L4:M32 L35:M47">
    <cfRule type="cellIs" dxfId="103" priority="23" operator="greaterThanOrEqual">
      <formula>0.01</formula>
    </cfRule>
    <cfRule type="cellIs" dxfId="102" priority="24" operator="lessThan">
      <formula>0.01</formula>
    </cfRule>
  </conditionalFormatting>
  <conditionalFormatting sqref="H44:K45">
    <cfRule type="cellIs" dxfId="101" priority="19" operator="greaterThanOrEqual">
      <formula>0.01</formula>
    </cfRule>
    <cfRule type="cellIs" dxfId="100" priority="20" operator="lessThan">
      <formula>0.01</formula>
    </cfRule>
  </conditionalFormatting>
  <conditionalFormatting sqref="N33:O34 R33:S34">
    <cfRule type="cellIs" dxfId="99" priority="17" operator="greaterThanOrEqual">
      <formula>0.01</formula>
    </cfRule>
    <cfRule type="cellIs" dxfId="98" priority="18" operator="lessThan">
      <formula>0.01</formula>
    </cfRule>
  </conditionalFormatting>
  <conditionalFormatting sqref="L33:M34">
    <cfRule type="cellIs" dxfId="97" priority="13" operator="greaterThanOrEqual">
      <formula>0.01</formula>
    </cfRule>
    <cfRule type="cellIs" dxfId="96" priority="14" operator="lessThan">
      <formula>0.01</formula>
    </cfRule>
  </conditionalFormatting>
  <conditionalFormatting sqref="L33:M34">
    <cfRule type="cellIs" dxfId="95" priority="11" operator="greaterThanOrEqual">
      <formula>0.01</formula>
    </cfRule>
    <cfRule type="cellIs" dxfId="94" priority="12" operator="lessThan">
      <formula>0.01</formula>
    </cfRule>
  </conditionalFormatting>
  <conditionalFormatting sqref="H33:K34">
    <cfRule type="cellIs" dxfId="93" priority="9" operator="greaterThanOrEqual">
      <formula>0.01</formula>
    </cfRule>
    <cfRule type="cellIs" dxfId="92" priority="10" operator="lessThan">
      <formula>0.01</formula>
    </cfRule>
  </conditionalFormatting>
  <conditionalFormatting sqref="P33:Q34">
    <cfRule type="cellIs" dxfId="91" priority="7" operator="greaterThanOrEqual">
      <formula>0.01</formula>
    </cfRule>
    <cfRule type="cellIs" dxfId="90" priority="8" operator="lessThan">
      <formula>0.01</formula>
    </cfRule>
  </conditionalFormatting>
  <conditionalFormatting sqref="P33:Q34">
    <cfRule type="cellIs" dxfId="89" priority="5" operator="greaterThanOrEqual">
      <formula>0.01</formula>
    </cfRule>
    <cfRule type="cellIs" dxfId="88" priority="6" operator="lessThan">
      <formula>0.01</formula>
    </cfRule>
  </conditionalFormatting>
  <conditionalFormatting sqref="P44:Q45">
    <cfRule type="cellIs" dxfId="87" priority="3" operator="greaterThanOrEqual">
      <formula>0.01</formula>
    </cfRule>
    <cfRule type="cellIs" dxfId="86" priority="4" operator="lessThan">
      <formula>0.01</formula>
    </cfRule>
  </conditionalFormatting>
  <conditionalFormatting sqref="P44:Q45">
    <cfRule type="cellIs" dxfId="85" priority="1" operator="greaterThanOrEqual">
      <formula>0.01</formula>
    </cfRule>
    <cfRule type="cellIs" dxfId="84" priority="2" operator="lessThan">
      <formula>0.01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8A3C-0FBB-4EEE-A92A-A223B758F45C}">
  <sheetPr>
    <tabColor rgb="FF0070C0"/>
  </sheetPr>
  <dimension ref="A1:AG87"/>
  <sheetViews>
    <sheetView topLeftCell="B1" zoomScale="80" zoomScaleNormal="80" workbookViewId="0">
      <pane ySplit="6" topLeftCell="A7" activePane="bottomLeft" state="frozen"/>
      <selection activeCell="B1" sqref="B1"/>
      <selection pane="bottomLeft" activeCell="H27" sqref="H27"/>
    </sheetView>
  </sheetViews>
  <sheetFormatPr defaultColWidth="7.54296875" defaultRowHeight="14.5" x14ac:dyDescent="0.35"/>
  <cols>
    <col min="1" max="1" width="14.54296875" style="385" hidden="1" customWidth="1"/>
    <col min="2" max="2" width="10.7265625" style="385" customWidth="1"/>
    <col min="3" max="3" width="43.1796875" style="22" customWidth="1"/>
    <col min="4" max="4" width="11" style="385" customWidth="1"/>
    <col min="5" max="5" width="8.7265625" style="385" customWidth="1"/>
    <col min="6" max="6" width="11.26953125" style="385" bestFit="1" customWidth="1"/>
    <col min="7" max="7" width="12.1796875" style="385" bestFit="1" customWidth="1"/>
    <col min="8" max="13" width="13.453125" style="385" customWidth="1"/>
    <col min="14" max="14" width="13.54296875" style="385" customWidth="1"/>
    <col min="15" max="19" width="13.453125" style="385" customWidth="1"/>
    <col min="20" max="20" width="9.81640625" style="386" bestFit="1" customWidth="1"/>
    <col min="21" max="21" width="56.1796875" style="385" customWidth="1"/>
    <col min="22" max="22" width="17" style="385" customWidth="1"/>
    <col min="23" max="16384" width="7.54296875" style="385"/>
  </cols>
  <sheetData>
    <row r="1" spans="1:33" x14ac:dyDescent="0.35">
      <c r="B1" s="762" t="s">
        <v>361</v>
      </c>
      <c r="C1" s="762"/>
      <c r="D1" s="762"/>
      <c r="E1" s="762"/>
      <c r="F1" s="762"/>
      <c r="G1" s="762"/>
      <c r="H1" s="762"/>
      <c r="I1" s="762"/>
      <c r="J1" s="762"/>
      <c r="K1" s="762"/>
      <c r="L1" s="762"/>
      <c r="M1" s="762"/>
      <c r="N1" s="762"/>
      <c r="O1" s="762"/>
      <c r="P1" s="762"/>
      <c r="Q1" s="762"/>
      <c r="R1" s="762"/>
      <c r="S1" s="762"/>
      <c r="T1" s="762"/>
      <c r="U1" s="762"/>
      <c r="V1" s="762"/>
      <c r="W1" s="44"/>
      <c r="X1" s="44"/>
      <c r="Y1" s="44"/>
      <c r="Z1" s="44"/>
      <c r="AA1" s="44"/>
      <c r="AB1" s="44"/>
      <c r="AC1" s="44"/>
      <c r="AD1" s="44"/>
      <c r="AE1" s="44"/>
      <c r="AF1" s="44"/>
      <c r="AG1" s="44"/>
    </row>
    <row r="2" spans="1:33" x14ac:dyDescent="0.35">
      <c r="B2" s="762"/>
      <c r="C2" s="762"/>
      <c r="D2" s="762"/>
      <c r="E2" s="762"/>
      <c r="F2" s="762"/>
      <c r="G2" s="762"/>
      <c r="H2" s="762"/>
      <c r="I2" s="762"/>
      <c r="J2" s="762"/>
      <c r="K2" s="762"/>
      <c r="L2" s="762"/>
      <c r="M2" s="762"/>
      <c r="N2" s="762"/>
      <c r="O2" s="762"/>
      <c r="P2" s="762"/>
      <c r="Q2" s="762"/>
      <c r="R2" s="762"/>
      <c r="S2" s="762"/>
      <c r="T2" s="762"/>
      <c r="U2" s="762"/>
      <c r="V2" s="762"/>
      <c r="W2" s="44"/>
      <c r="X2" s="44"/>
      <c r="Y2" s="44"/>
      <c r="Z2" s="44"/>
      <c r="AA2" s="44"/>
      <c r="AB2" s="44"/>
      <c r="AC2" s="44"/>
      <c r="AD2" s="44"/>
      <c r="AE2" s="44"/>
      <c r="AF2" s="44"/>
      <c r="AG2" s="44"/>
    </row>
    <row r="3" spans="1:33" ht="15" thickBot="1" x14ac:dyDescent="0.4">
      <c r="W3" s="44"/>
      <c r="X3" s="44"/>
      <c r="Y3" s="44"/>
      <c r="Z3" s="44"/>
      <c r="AA3" s="44"/>
      <c r="AB3" s="44"/>
      <c r="AC3" s="44"/>
      <c r="AD3" s="44"/>
      <c r="AE3" s="44"/>
      <c r="AF3" s="44"/>
      <c r="AG3" s="44"/>
    </row>
    <row r="4" spans="1:33" x14ac:dyDescent="0.35">
      <c r="A4" s="387"/>
      <c r="B4" s="388"/>
      <c r="C4" s="389"/>
      <c r="D4" s="224"/>
      <c r="E4" s="224"/>
      <c r="F4" s="763" t="s">
        <v>319</v>
      </c>
      <c r="G4" s="764"/>
      <c r="H4" s="760" t="s">
        <v>320</v>
      </c>
      <c r="I4" s="761"/>
      <c r="J4" s="760" t="s">
        <v>70</v>
      </c>
      <c r="K4" s="761"/>
      <c r="L4" s="754" t="s">
        <v>321</v>
      </c>
      <c r="M4" s="755"/>
      <c r="N4" s="760" t="s">
        <v>72</v>
      </c>
      <c r="O4" s="761"/>
      <c r="P4" s="754" t="s">
        <v>362</v>
      </c>
      <c r="Q4" s="755"/>
      <c r="R4" s="760" t="s">
        <v>74</v>
      </c>
      <c r="S4" s="761"/>
      <c r="T4" s="390"/>
      <c r="U4" s="391"/>
      <c r="V4" s="392"/>
      <c r="W4" s="44"/>
      <c r="X4" s="44"/>
      <c r="Y4" s="44"/>
      <c r="Z4" s="44"/>
      <c r="AA4" s="44"/>
      <c r="AB4" s="44"/>
      <c r="AC4" s="44"/>
      <c r="AD4" s="44"/>
      <c r="AE4" s="44"/>
      <c r="AF4" s="44"/>
      <c r="AG4" s="44"/>
    </row>
    <row r="5" spans="1:33" x14ac:dyDescent="0.35">
      <c r="A5" s="393"/>
      <c r="B5" s="226"/>
      <c r="C5" s="227"/>
      <c r="D5" s="227"/>
      <c r="E5" s="227"/>
      <c r="F5" s="765"/>
      <c r="G5" s="766"/>
      <c r="H5" s="758" t="s">
        <v>363</v>
      </c>
      <c r="I5" s="759"/>
      <c r="J5" s="758" t="s">
        <v>80</v>
      </c>
      <c r="K5" s="759"/>
      <c r="L5" s="756" t="s">
        <v>325</v>
      </c>
      <c r="M5" s="757"/>
      <c r="N5" s="758" t="s">
        <v>82</v>
      </c>
      <c r="O5" s="759"/>
      <c r="P5" s="756" t="s">
        <v>83</v>
      </c>
      <c r="Q5" s="757"/>
      <c r="R5" s="758" t="s">
        <v>84</v>
      </c>
      <c r="S5" s="759"/>
      <c r="T5" s="394"/>
      <c r="U5" s="227"/>
      <c r="V5" s="228"/>
      <c r="W5" s="44"/>
      <c r="X5" s="44"/>
      <c r="Y5" s="44"/>
      <c r="Z5" s="44"/>
      <c r="AA5" s="44"/>
      <c r="AB5" s="44"/>
      <c r="AC5" s="44"/>
      <c r="AD5" s="44"/>
      <c r="AE5" s="44"/>
      <c r="AF5" s="44"/>
      <c r="AG5" s="44"/>
    </row>
    <row r="6" spans="1:33" ht="26.5" thickBot="1" x14ac:dyDescent="0.4">
      <c r="A6" s="395" t="s">
        <v>364</v>
      </c>
      <c r="B6" s="396" t="s">
        <v>328</v>
      </c>
      <c r="C6" s="397" t="s">
        <v>365</v>
      </c>
      <c r="D6" s="397" t="s">
        <v>67</v>
      </c>
      <c r="E6" s="397" t="s">
        <v>329</v>
      </c>
      <c r="F6" s="398" t="s">
        <v>89</v>
      </c>
      <c r="G6" s="398" t="s">
        <v>92</v>
      </c>
      <c r="H6" s="399" t="s">
        <v>330</v>
      </c>
      <c r="I6" s="399" t="s">
        <v>331</v>
      </c>
      <c r="J6" s="399" t="s">
        <v>330</v>
      </c>
      <c r="K6" s="399" t="s">
        <v>331</v>
      </c>
      <c r="L6" s="479" t="s">
        <v>330</v>
      </c>
      <c r="M6" s="479" t="s">
        <v>331</v>
      </c>
      <c r="N6" s="399" t="s">
        <v>330</v>
      </c>
      <c r="O6" s="399" t="s">
        <v>331</v>
      </c>
      <c r="P6" s="479" t="s">
        <v>330</v>
      </c>
      <c r="Q6" s="479" t="s">
        <v>331</v>
      </c>
      <c r="R6" s="399" t="s">
        <v>330</v>
      </c>
      <c r="S6" s="399" t="s">
        <v>331</v>
      </c>
      <c r="T6" s="400" t="s">
        <v>332</v>
      </c>
      <c r="U6" s="397" t="s">
        <v>333</v>
      </c>
      <c r="V6" s="401" t="s">
        <v>163</v>
      </c>
      <c r="W6" s="44"/>
      <c r="X6" s="44"/>
      <c r="Y6" s="44"/>
      <c r="Z6" s="44"/>
      <c r="AA6" s="44"/>
      <c r="AB6" s="44"/>
      <c r="AC6" s="44"/>
      <c r="AD6" s="44"/>
      <c r="AE6" s="44"/>
      <c r="AF6" s="44"/>
      <c r="AG6" s="44"/>
    </row>
    <row r="7" spans="1:33" ht="26" x14ac:dyDescent="0.35">
      <c r="A7" s="425"/>
      <c r="B7" s="402" t="s">
        <v>334</v>
      </c>
      <c r="C7" s="380" t="s">
        <v>296</v>
      </c>
      <c r="D7" s="380" t="s">
        <v>91</v>
      </c>
      <c r="E7" s="403" t="s">
        <v>335</v>
      </c>
      <c r="F7" s="403">
        <v>250</v>
      </c>
      <c r="G7" s="403">
        <v>250</v>
      </c>
      <c r="H7" s="404">
        <v>1</v>
      </c>
      <c r="I7" s="404">
        <v>0.94114583333333357</v>
      </c>
      <c r="J7" s="404">
        <f t="shared" ref="J7:J44" si="0">IFERROR((H7*IF(E7="8-hr",ED_8,ED_12)/AT),"--")</f>
        <v>0.33333333333333331</v>
      </c>
      <c r="K7" s="404">
        <f t="shared" ref="K7:K44" si="1">IFERROR((I7*IF(E7="8-hr",ED_8,ED_12)/AT),"--")</f>
        <v>0.31371527777777786</v>
      </c>
      <c r="L7" s="496">
        <f t="shared" ref="L7:L50" si="2">IFERROR((H7*IF(E7="8-hr",ED_8,ED_12)/IF(E7="8-hr",ED_8,ED_12)),"--")</f>
        <v>1</v>
      </c>
      <c r="M7" s="496">
        <f t="shared" ref="M7:M50" si="3">IFERROR((I7*IF(E7="8-hr",ED_8,ED_12)/IF(E7="8-hr",ED_8,ED_12)),"--")</f>
        <v>0.94114583333333357</v>
      </c>
      <c r="N7" s="404">
        <f t="shared" ref="N7:N35" si="4">IFERROR((J7*G7*WY_high)/(365*WY_high),"--")</f>
        <v>0.22831050228310501</v>
      </c>
      <c r="O7" s="404">
        <f t="shared" ref="O7:O35" si="5">IFERROR((K7*G7*WY_mid)/(365*WY_mid),"--")</f>
        <v>0.21487347792998482</v>
      </c>
      <c r="P7" s="480">
        <f t="shared" ref="P7:P44" si="6">IFERROR((((H7*IF(E7="8-hr",ED_8,ED_12)/IF(E7="8-hr",ED_8,ED_12)))*G7*WY_high)/(365*WY_high),"--")</f>
        <v>0.68493150684931503</v>
      </c>
      <c r="Q7" s="480">
        <f t="shared" ref="Q7:Q44" si="7">IFERROR(((I7*IF(E7="8-hr",ED_8,ED_12)/IF(E7="8-hr",ED_8,ED_12))*G7*WY_mid)/(365*WY_mid),"--")</f>
        <v>0.64462043378995459</v>
      </c>
      <c r="R7" s="404">
        <f t="shared" ref="R7:R35" si="8">IFERROR((J7*G7*WY_high)/(365*LT),"--")</f>
        <v>0.11708230886313077</v>
      </c>
      <c r="S7" s="404">
        <f t="shared" ref="S7:S35" si="9">IFERROR((K7*G7*WY_mid)/(365*LT),"--")</f>
        <v>8.5398433536276019E-2</v>
      </c>
      <c r="T7" s="405">
        <v>2</v>
      </c>
      <c r="U7" s="406" t="s">
        <v>336</v>
      </c>
      <c r="V7" s="407" t="s">
        <v>63</v>
      </c>
      <c r="W7" s="44"/>
      <c r="X7" s="44"/>
      <c r="Y7" s="44"/>
      <c r="Z7" s="44"/>
      <c r="AA7" s="44"/>
      <c r="AB7" s="44"/>
      <c r="AC7" s="44"/>
      <c r="AD7" s="44"/>
      <c r="AE7" s="44"/>
      <c r="AF7" s="44"/>
      <c r="AG7" s="44"/>
    </row>
    <row r="8" spans="1:33" ht="26" x14ac:dyDescent="0.35">
      <c r="A8" s="408"/>
      <c r="B8" s="409" t="s">
        <v>334</v>
      </c>
      <c r="C8" s="24" t="s">
        <v>296</v>
      </c>
      <c r="D8" s="49" t="s">
        <v>88</v>
      </c>
      <c r="E8" s="410" t="s">
        <v>335</v>
      </c>
      <c r="F8" s="410">
        <v>250</v>
      </c>
      <c r="G8" s="410">
        <v>250</v>
      </c>
      <c r="H8" s="411">
        <v>39.489840750833331</v>
      </c>
      <c r="I8" s="411">
        <v>4.6362499999999995</v>
      </c>
      <c r="J8" s="404">
        <f t="shared" si="0"/>
        <v>13.163280250277777</v>
      </c>
      <c r="K8" s="404">
        <f t="shared" si="1"/>
        <v>1.5454166666666664</v>
      </c>
      <c r="L8" s="496">
        <f t="shared" si="2"/>
        <v>39.489840750833331</v>
      </c>
      <c r="M8" s="496">
        <f t="shared" si="3"/>
        <v>4.6362499999999995</v>
      </c>
      <c r="N8" s="404">
        <f t="shared" si="4"/>
        <v>9.0159453769025877</v>
      </c>
      <c r="O8" s="404">
        <f t="shared" si="5"/>
        <v>1.0585045662100456</v>
      </c>
      <c r="P8" s="480">
        <f t="shared" si="6"/>
        <v>27.047836130707761</v>
      </c>
      <c r="Q8" s="480">
        <f t="shared" si="7"/>
        <v>3.1755136986301364</v>
      </c>
      <c r="R8" s="404">
        <f t="shared" si="8"/>
        <v>4.6235617317449167</v>
      </c>
      <c r="S8" s="404">
        <f t="shared" si="9"/>
        <v>0.42068771221168477</v>
      </c>
      <c r="T8" s="412">
        <v>22</v>
      </c>
      <c r="U8" s="48" t="s">
        <v>336</v>
      </c>
      <c r="V8" s="413" t="s">
        <v>63</v>
      </c>
      <c r="W8" s="44"/>
      <c r="X8" s="44"/>
      <c r="Y8" s="44"/>
      <c r="Z8" s="44"/>
      <c r="AA8" s="44"/>
      <c r="AB8" s="44"/>
      <c r="AC8" s="44"/>
      <c r="AD8" s="44"/>
      <c r="AE8" s="44"/>
      <c r="AF8" s="44"/>
      <c r="AG8" s="44"/>
    </row>
    <row r="9" spans="1:33" x14ac:dyDescent="0.35">
      <c r="A9" s="408"/>
      <c r="B9" s="402" t="s">
        <v>334</v>
      </c>
      <c r="C9" s="381" t="s">
        <v>295</v>
      </c>
      <c r="D9" s="380" t="s">
        <v>91</v>
      </c>
      <c r="E9" s="403" t="s">
        <v>335</v>
      </c>
      <c r="F9" s="403">
        <v>250</v>
      </c>
      <c r="G9" s="403">
        <v>250</v>
      </c>
      <c r="H9" s="404">
        <v>1</v>
      </c>
      <c r="I9" s="404">
        <v>0.94114583333333357</v>
      </c>
      <c r="J9" s="404">
        <f t="shared" si="0"/>
        <v>0.33333333333333331</v>
      </c>
      <c r="K9" s="404">
        <f t="shared" si="1"/>
        <v>0.31371527777777786</v>
      </c>
      <c r="L9" s="496">
        <f t="shared" si="2"/>
        <v>1</v>
      </c>
      <c r="M9" s="496">
        <f t="shared" si="3"/>
        <v>0.94114583333333357</v>
      </c>
      <c r="N9" s="404">
        <f t="shared" si="4"/>
        <v>0.22831050228310501</v>
      </c>
      <c r="O9" s="404">
        <f t="shared" si="5"/>
        <v>0.21487347792998482</v>
      </c>
      <c r="P9" s="480">
        <f t="shared" si="6"/>
        <v>0.68493150684931503</v>
      </c>
      <c r="Q9" s="480">
        <f t="shared" si="7"/>
        <v>0.64462043378995459</v>
      </c>
      <c r="R9" s="404">
        <f t="shared" si="8"/>
        <v>0.11708230886313077</v>
      </c>
      <c r="S9" s="404">
        <f t="shared" si="9"/>
        <v>8.5398433536276019E-2</v>
      </c>
      <c r="T9" s="405">
        <v>2</v>
      </c>
      <c r="U9" s="48"/>
      <c r="V9" s="413" t="s">
        <v>63</v>
      </c>
      <c r="W9" s="44"/>
      <c r="X9" s="44"/>
      <c r="Y9" s="44"/>
      <c r="Z9" s="44"/>
      <c r="AA9" s="44"/>
      <c r="AB9" s="44"/>
      <c r="AC9" s="44"/>
      <c r="AD9" s="44"/>
      <c r="AE9" s="44"/>
      <c r="AF9" s="44"/>
      <c r="AG9" s="44"/>
    </row>
    <row r="10" spans="1:33" x14ac:dyDescent="0.35">
      <c r="A10" s="414" t="s">
        <v>334</v>
      </c>
      <c r="B10" s="409" t="s">
        <v>334</v>
      </c>
      <c r="C10" s="418" t="s">
        <v>295</v>
      </c>
      <c r="D10" s="450" t="s">
        <v>88</v>
      </c>
      <c r="E10" s="410" t="s">
        <v>335</v>
      </c>
      <c r="F10" s="410">
        <v>250</v>
      </c>
      <c r="G10" s="410">
        <v>250</v>
      </c>
      <c r="H10" s="411">
        <v>39.489840750833331</v>
      </c>
      <c r="I10" s="411">
        <v>4.6362499999999995</v>
      </c>
      <c r="J10" s="404">
        <f t="shared" si="0"/>
        <v>13.163280250277777</v>
      </c>
      <c r="K10" s="404">
        <f t="shared" si="1"/>
        <v>1.5454166666666664</v>
      </c>
      <c r="L10" s="496">
        <f t="shared" si="2"/>
        <v>39.489840750833331</v>
      </c>
      <c r="M10" s="496">
        <f t="shared" si="3"/>
        <v>4.6362499999999995</v>
      </c>
      <c r="N10" s="404">
        <f t="shared" si="4"/>
        <v>9.0159453769025877</v>
      </c>
      <c r="O10" s="404">
        <f t="shared" si="5"/>
        <v>1.0585045662100456</v>
      </c>
      <c r="P10" s="480">
        <f t="shared" si="6"/>
        <v>27.047836130707761</v>
      </c>
      <c r="Q10" s="480">
        <f t="shared" si="7"/>
        <v>3.1755136986301364</v>
      </c>
      <c r="R10" s="404">
        <f t="shared" si="8"/>
        <v>4.6235617317449167</v>
      </c>
      <c r="S10" s="404">
        <f t="shared" si="9"/>
        <v>0.42068771221168477</v>
      </c>
      <c r="T10" s="412">
        <v>22</v>
      </c>
      <c r="U10" s="48"/>
      <c r="V10" s="447" t="s">
        <v>63</v>
      </c>
      <c r="W10" s="44"/>
      <c r="X10" s="44"/>
      <c r="Y10" s="44"/>
      <c r="Z10" s="44"/>
      <c r="AA10" s="44"/>
      <c r="AB10" s="44"/>
      <c r="AC10" s="44"/>
      <c r="AD10" s="44"/>
      <c r="AE10" s="44"/>
      <c r="AF10" s="44"/>
      <c r="AG10" s="44"/>
    </row>
    <row r="11" spans="1:33" x14ac:dyDescent="0.35">
      <c r="A11" s="454"/>
      <c r="B11" s="409" t="s">
        <v>337</v>
      </c>
      <c r="C11" s="418" t="s">
        <v>290</v>
      </c>
      <c r="D11" s="24" t="s">
        <v>91</v>
      </c>
      <c r="E11" s="415" t="s">
        <v>335</v>
      </c>
      <c r="F11" s="410">
        <v>250</v>
      </c>
      <c r="G11" s="410">
        <v>250</v>
      </c>
      <c r="H11" s="411" t="s">
        <v>245</v>
      </c>
      <c r="I11" s="411" t="s">
        <v>245</v>
      </c>
      <c r="J11" s="404" t="str">
        <f t="shared" si="0"/>
        <v>--</v>
      </c>
      <c r="K11" s="404" t="str">
        <f t="shared" si="1"/>
        <v>--</v>
      </c>
      <c r="L11" s="496" t="str">
        <f t="shared" si="2"/>
        <v>--</v>
      </c>
      <c r="M11" s="496" t="str">
        <f t="shared" si="3"/>
        <v>--</v>
      </c>
      <c r="N11" s="404" t="str">
        <f t="shared" si="4"/>
        <v>--</v>
      </c>
      <c r="O11" s="404" t="str">
        <f t="shared" si="5"/>
        <v>--</v>
      </c>
      <c r="P11" s="480" t="str">
        <f t="shared" si="6"/>
        <v>--</v>
      </c>
      <c r="Q11" s="480" t="str">
        <f t="shared" si="7"/>
        <v>--</v>
      </c>
      <c r="R11" s="404" t="str">
        <f t="shared" si="8"/>
        <v>--</v>
      </c>
      <c r="S11" s="404" t="str">
        <f t="shared" si="9"/>
        <v>--</v>
      </c>
      <c r="T11" s="412">
        <v>0</v>
      </c>
      <c r="U11" s="77"/>
      <c r="V11" s="447" t="s">
        <v>63</v>
      </c>
      <c r="W11" s="44"/>
      <c r="X11" s="44"/>
      <c r="Y11" s="44"/>
      <c r="Z11" s="44"/>
      <c r="AA11" s="44"/>
      <c r="AB11" s="44"/>
      <c r="AC11" s="44"/>
      <c r="AD11" s="44"/>
      <c r="AE11" s="44"/>
      <c r="AF11" s="44"/>
      <c r="AG11" s="44"/>
    </row>
    <row r="12" spans="1:33" x14ac:dyDescent="0.35">
      <c r="A12" s="414" t="s">
        <v>337</v>
      </c>
      <c r="B12" s="409" t="s">
        <v>337</v>
      </c>
      <c r="C12" s="418" t="s">
        <v>290</v>
      </c>
      <c r="D12" s="561" t="s">
        <v>88</v>
      </c>
      <c r="E12" s="415" t="s">
        <v>335</v>
      </c>
      <c r="F12" s="410">
        <v>250</v>
      </c>
      <c r="G12" s="410">
        <v>250</v>
      </c>
      <c r="H12" s="411">
        <v>1.4541425360567775</v>
      </c>
      <c r="I12" s="411">
        <v>0.45777456427429791</v>
      </c>
      <c r="J12" s="404">
        <f t="shared" si="0"/>
        <v>0.48471417868559247</v>
      </c>
      <c r="K12" s="404">
        <f t="shared" si="1"/>
        <v>0.15259152142476598</v>
      </c>
      <c r="L12" s="496">
        <f t="shared" si="2"/>
        <v>1.4541425360567775</v>
      </c>
      <c r="M12" s="496">
        <f t="shared" si="3"/>
        <v>0.45777456427429791</v>
      </c>
      <c r="N12" s="404">
        <f t="shared" si="4"/>
        <v>0.331996012798351</v>
      </c>
      <c r="O12" s="404">
        <f t="shared" si="5"/>
        <v>0.1045147407018945</v>
      </c>
      <c r="P12" s="480">
        <f t="shared" si="6"/>
        <v>0.99598803839505312</v>
      </c>
      <c r="Q12" s="480">
        <f t="shared" si="7"/>
        <v>0.3135442221056835</v>
      </c>
      <c r="R12" s="404">
        <f t="shared" si="8"/>
        <v>0.17025436553761589</v>
      </c>
      <c r="S12" s="404">
        <f t="shared" si="9"/>
        <v>4.1537909766137554E-2</v>
      </c>
      <c r="T12" s="412">
        <v>19</v>
      </c>
      <c r="U12" s="77"/>
      <c r="V12" s="447" t="s">
        <v>63</v>
      </c>
      <c r="W12" s="44"/>
      <c r="X12" s="44"/>
      <c r="Y12" s="44"/>
      <c r="Z12" s="44"/>
      <c r="AA12" s="44"/>
      <c r="AB12" s="44"/>
      <c r="AC12" s="44"/>
      <c r="AD12" s="44"/>
      <c r="AE12" s="44"/>
      <c r="AF12" s="44"/>
      <c r="AG12" s="44"/>
    </row>
    <row r="13" spans="1:33" x14ac:dyDescent="0.35">
      <c r="A13" s="454"/>
      <c r="B13" s="409" t="s">
        <v>338</v>
      </c>
      <c r="C13" s="418" t="s">
        <v>285</v>
      </c>
      <c r="D13" s="24" t="s">
        <v>91</v>
      </c>
      <c r="E13" s="410" t="s">
        <v>335</v>
      </c>
      <c r="F13" s="410">
        <v>250</v>
      </c>
      <c r="G13" s="410">
        <v>250</v>
      </c>
      <c r="H13" s="411">
        <v>9.0913124999999955</v>
      </c>
      <c r="I13" s="411">
        <v>1.1070833333333334</v>
      </c>
      <c r="J13" s="404">
        <f t="shared" si="0"/>
        <v>3.0304374999999983</v>
      </c>
      <c r="K13" s="404">
        <f t="shared" si="1"/>
        <v>0.36902777777777779</v>
      </c>
      <c r="L13" s="496">
        <f t="shared" si="2"/>
        <v>9.0913124999999955</v>
      </c>
      <c r="M13" s="496">
        <f t="shared" si="3"/>
        <v>1.1070833333333334</v>
      </c>
      <c r="N13" s="404">
        <f t="shared" si="4"/>
        <v>2.0756421232876701</v>
      </c>
      <c r="O13" s="404">
        <f t="shared" si="5"/>
        <v>0.25275875190258751</v>
      </c>
      <c r="P13" s="480">
        <f t="shared" si="6"/>
        <v>6.226926369863012</v>
      </c>
      <c r="Q13" s="480">
        <f t="shared" si="7"/>
        <v>0.75827625570776258</v>
      </c>
      <c r="R13" s="404">
        <f t="shared" si="8"/>
        <v>1.0644318580962411</v>
      </c>
      <c r="S13" s="404">
        <f t="shared" si="9"/>
        <v>0.10045540139718222</v>
      </c>
      <c r="T13" s="412">
        <v>10</v>
      </c>
      <c r="U13" s="77" t="s">
        <v>339</v>
      </c>
      <c r="V13" s="447" t="s">
        <v>63</v>
      </c>
      <c r="W13" s="44"/>
      <c r="X13" s="44"/>
      <c r="Y13" s="44"/>
      <c r="Z13" s="44"/>
      <c r="AA13" s="44"/>
      <c r="AB13" s="44"/>
      <c r="AC13" s="44"/>
      <c r="AD13" s="44"/>
      <c r="AE13" s="44"/>
      <c r="AF13" s="44"/>
      <c r="AG13" s="44"/>
    </row>
    <row r="14" spans="1:33" x14ac:dyDescent="0.35">
      <c r="A14" s="414" t="s">
        <v>338</v>
      </c>
      <c r="B14" s="428" t="s">
        <v>338</v>
      </c>
      <c r="C14" s="443" t="s">
        <v>285</v>
      </c>
      <c r="D14" s="462" t="s">
        <v>88</v>
      </c>
      <c r="E14" s="443" t="s">
        <v>335</v>
      </c>
      <c r="F14" s="443">
        <v>250</v>
      </c>
      <c r="G14" s="443">
        <v>250</v>
      </c>
      <c r="H14" s="411">
        <v>57.687038587411529</v>
      </c>
      <c r="I14" s="411">
        <v>12.776666666666666</v>
      </c>
      <c r="J14" s="404">
        <f t="shared" si="0"/>
        <v>19.229012862470508</v>
      </c>
      <c r="K14" s="404">
        <f t="shared" si="1"/>
        <v>4.2588888888888885</v>
      </c>
      <c r="L14" s="496">
        <f t="shared" si="2"/>
        <v>57.687038587411529</v>
      </c>
      <c r="M14" s="496">
        <f t="shared" si="3"/>
        <v>12.776666666666666</v>
      </c>
      <c r="N14" s="404">
        <f t="shared" si="4"/>
        <v>13.170556755116786</v>
      </c>
      <c r="O14" s="404">
        <f t="shared" si="5"/>
        <v>2.9170471841704719</v>
      </c>
      <c r="P14" s="480">
        <f t="shared" si="6"/>
        <v>39.511670265350361</v>
      </c>
      <c r="Q14" s="480">
        <f t="shared" si="7"/>
        <v>8.7511415525114149</v>
      </c>
      <c r="R14" s="404">
        <f t="shared" si="8"/>
        <v>6.7541316692906594</v>
      </c>
      <c r="S14" s="404">
        <f t="shared" si="9"/>
        <v>1.1593392655036492</v>
      </c>
      <c r="T14" s="463">
        <v>108</v>
      </c>
      <c r="U14" s="464" t="s">
        <v>339</v>
      </c>
      <c r="V14" s="465" t="s">
        <v>63</v>
      </c>
      <c r="W14" s="44"/>
      <c r="X14" s="44"/>
      <c r="Y14" s="44"/>
      <c r="Z14" s="44"/>
      <c r="AA14" s="44"/>
      <c r="AB14" s="44"/>
      <c r="AC14" s="44"/>
      <c r="AD14" s="44"/>
      <c r="AE14" s="44"/>
      <c r="AF14" s="44"/>
      <c r="AG14" s="44"/>
    </row>
    <row r="15" spans="1:33" x14ac:dyDescent="0.35">
      <c r="A15" s="22"/>
      <c r="B15" s="409" t="s">
        <v>338</v>
      </c>
      <c r="C15" s="443" t="s">
        <v>288</v>
      </c>
      <c r="D15" s="451" t="s">
        <v>88</v>
      </c>
      <c r="E15" s="410" t="s">
        <v>340</v>
      </c>
      <c r="F15" s="410">
        <v>250</v>
      </c>
      <c r="G15" s="410">
        <v>250</v>
      </c>
      <c r="H15" s="411">
        <v>4.1900000000000004</v>
      </c>
      <c r="I15" s="411">
        <v>4.1900000000000004</v>
      </c>
      <c r="J15" s="404">
        <f t="shared" si="0"/>
        <v>2.0950000000000002</v>
      </c>
      <c r="K15" s="404">
        <f t="shared" si="1"/>
        <v>2.0950000000000002</v>
      </c>
      <c r="L15" s="496">
        <f t="shared" si="2"/>
        <v>4.1900000000000004</v>
      </c>
      <c r="M15" s="496">
        <f t="shared" si="3"/>
        <v>4.1900000000000004</v>
      </c>
      <c r="N15" s="404">
        <f t="shared" si="4"/>
        <v>1.4349315068493151</v>
      </c>
      <c r="O15" s="404">
        <f t="shared" si="5"/>
        <v>1.4349315068493151</v>
      </c>
      <c r="P15" s="480">
        <f t="shared" si="6"/>
        <v>2.8698630136986303</v>
      </c>
      <c r="Q15" s="480">
        <f t="shared" si="7"/>
        <v>2.8698630136986303</v>
      </c>
      <c r="R15" s="404">
        <f t="shared" si="8"/>
        <v>0.73586231120477696</v>
      </c>
      <c r="S15" s="404">
        <f t="shared" si="9"/>
        <v>0.57029329118370209</v>
      </c>
      <c r="T15" s="412">
        <v>1</v>
      </c>
      <c r="U15" s="77" t="s">
        <v>339</v>
      </c>
      <c r="V15" s="447" t="s">
        <v>63</v>
      </c>
      <c r="W15" s="44"/>
      <c r="X15" s="44"/>
      <c r="Y15" s="44"/>
      <c r="Z15" s="44"/>
      <c r="AA15" s="44"/>
      <c r="AB15" s="44"/>
      <c r="AC15" s="44"/>
      <c r="AD15" s="44"/>
      <c r="AE15" s="44"/>
      <c r="AF15" s="44"/>
      <c r="AG15" s="44"/>
    </row>
    <row r="16" spans="1:33" x14ac:dyDescent="0.35">
      <c r="A16" s="455"/>
      <c r="B16" s="428">
        <v>24</v>
      </c>
      <c r="C16" s="422" t="s">
        <v>62</v>
      </c>
      <c r="D16" s="561" t="s">
        <v>91</v>
      </c>
      <c r="E16" s="410" t="s">
        <v>335</v>
      </c>
      <c r="F16" s="410">
        <v>250</v>
      </c>
      <c r="G16" s="410">
        <v>250</v>
      </c>
      <c r="H16" s="364" t="s">
        <v>245</v>
      </c>
      <c r="I16" s="364" t="s">
        <v>245</v>
      </c>
      <c r="J16" s="404" t="str">
        <f t="shared" si="0"/>
        <v>--</v>
      </c>
      <c r="K16" s="404" t="str">
        <f t="shared" si="1"/>
        <v>--</v>
      </c>
      <c r="L16" s="496" t="str">
        <f t="shared" si="2"/>
        <v>--</v>
      </c>
      <c r="M16" s="496" t="str">
        <f t="shared" si="3"/>
        <v>--</v>
      </c>
      <c r="N16" s="404" t="str">
        <f t="shared" si="4"/>
        <v>--</v>
      </c>
      <c r="O16" s="404" t="str">
        <f t="shared" si="5"/>
        <v>--</v>
      </c>
      <c r="P16" s="480" t="str">
        <f t="shared" si="6"/>
        <v>--</v>
      </c>
      <c r="Q16" s="480" t="str">
        <f t="shared" si="7"/>
        <v>--</v>
      </c>
      <c r="R16" s="404" t="str">
        <f t="shared" si="8"/>
        <v>--</v>
      </c>
      <c r="S16" s="404" t="str">
        <f t="shared" si="9"/>
        <v>--</v>
      </c>
      <c r="T16" s="416">
        <v>0</v>
      </c>
      <c r="U16" s="417"/>
      <c r="V16" s="448" t="s">
        <v>63</v>
      </c>
      <c r="W16" s="44"/>
      <c r="X16" s="44"/>
      <c r="Y16" s="44"/>
      <c r="Z16" s="44"/>
      <c r="AA16" s="44"/>
      <c r="AB16" s="44"/>
      <c r="AC16" s="44"/>
      <c r="AD16" s="44"/>
      <c r="AE16" s="44"/>
      <c r="AF16" s="44"/>
      <c r="AG16" s="44"/>
    </row>
    <row r="17" spans="1:33" x14ac:dyDescent="0.35">
      <c r="A17" s="429">
        <v>24</v>
      </c>
      <c r="B17" s="428">
        <v>24</v>
      </c>
      <c r="C17" s="422" t="s">
        <v>62</v>
      </c>
      <c r="D17" s="452" t="s">
        <v>88</v>
      </c>
      <c r="E17" s="410" t="s">
        <v>335</v>
      </c>
      <c r="F17" s="410">
        <v>250</v>
      </c>
      <c r="G17" s="410">
        <v>250</v>
      </c>
      <c r="H17" s="364">
        <v>2.0955000000000172</v>
      </c>
      <c r="I17" s="364">
        <v>8.5000000000000006E-2</v>
      </c>
      <c r="J17" s="411">
        <f t="shared" si="0"/>
        <v>0.69850000000000578</v>
      </c>
      <c r="K17" s="411">
        <f t="shared" si="1"/>
        <v>2.8333333333333335E-2</v>
      </c>
      <c r="L17" s="496">
        <f t="shared" si="2"/>
        <v>2.0955000000000172</v>
      </c>
      <c r="M17" s="496">
        <f t="shared" si="3"/>
        <v>8.5000000000000006E-2</v>
      </c>
      <c r="N17" s="404">
        <f t="shared" si="4"/>
        <v>0.47842465753425056</v>
      </c>
      <c r="O17" s="411">
        <f t="shared" si="5"/>
        <v>1.9406392694063929E-2</v>
      </c>
      <c r="P17" s="480">
        <f t="shared" si="6"/>
        <v>1.4352739726027517</v>
      </c>
      <c r="Q17" s="480">
        <f t="shared" si="7"/>
        <v>5.8219178082191778E-2</v>
      </c>
      <c r="R17" s="404">
        <f t="shared" si="8"/>
        <v>0.24534597822269261</v>
      </c>
      <c r="S17" s="411">
        <f t="shared" si="9"/>
        <v>7.7127970963587408E-3</v>
      </c>
      <c r="T17" s="416">
        <v>20</v>
      </c>
      <c r="U17" s="417"/>
      <c r="V17" s="448" t="s">
        <v>63</v>
      </c>
      <c r="W17" s="44"/>
      <c r="X17" s="44"/>
      <c r="Y17" s="44"/>
      <c r="Z17" s="44"/>
      <c r="AA17" s="44"/>
      <c r="AB17" s="44"/>
      <c r="AC17" s="44"/>
      <c r="AD17" s="44"/>
      <c r="AE17" s="44"/>
      <c r="AF17" s="44"/>
      <c r="AG17" s="44"/>
    </row>
    <row r="18" spans="1:33" x14ac:dyDescent="0.35">
      <c r="A18" s="455"/>
      <c r="B18" s="428" t="s">
        <v>341</v>
      </c>
      <c r="C18" s="415" t="s">
        <v>291</v>
      </c>
      <c r="D18" s="561" t="s">
        <v>91</v>
      </c>
      <c r="E18" s="410" t="s">
        <v>335</v>
      </c>
      <c r="F18" s="410">
        <v>250</v>
      </c>
      <c r="G18" s="410">
        <v>250</v>
      </c>
      <c r="H18" s="364" t="s">
        <v>245</v>
      </c>
      <c r="I18" s="364" t="s">
        <v>245</v>
      </c>
      <c r="J18" s="411" t="str">
        <f t="shared" si="0"/>
        <v>--</v>
      </c>
      <c r="K18" s="411" t="str">
        <f t="shared" si="1"/>
        <v>--</v>
      </c>
      <c r="L18" s="496" t="str">
        <f t="shared" si="2"/>
        <v>--</v>
      </c>
      <c r="M18" s="496" t="str">
        <f t="shared" si="3"/>
        <v>--</v>
      </c>
      <c r="N18" s="404" t="str">
        <f t="shared" si="4"/>
        <v>--</v>
      </c>
      <c r="O18" s="411" t="str">
        <f t="shared" si="5"/>
        <v>--</v>
      </c>
      <c r="P18" s="480" t="str">
        <f t="shared" si="6"/>
        <v>--</v>
      </c>
      <c r="Q18" s="480" t="str">
        <f t="shared" si="7"/>
        <v>--</v>
      </c>
      <c r="R18" s="404" t="str">
        <f t="shared" si="8"/>
        <v>--</v>
      </c>
      <c r="S18" s="411" t="str">
        <f t="shared" si="9"/>
        <v>--</v>
      </c>
      <c r="T18" s="416">
        <v>0</v>
      </c>
      <c r="U18" s="211" t="s">
        <v>342</v>
      </c>
      <c r="V18" s="448" t="s">
        <v>63</v>
      </c>
      <c r="W18" s="44"/>
      <c r="X18" s="44"/>
      <c r="Y18" s="44"/>
      <c r="Z18" s="44"/>
      <c r="AA18" s="44"/>
      <c r="AB18" s="44"/>
      <c r="AC18" s="44"/>
      <c r="AD18" s="44"/>
      <c r="AE18" s="44"/>
      <c r="AF18" s="44"/>
      <c r="AG18" s="44"/>
    </row>
    <row r="19" spans="1:33" x14ac:dyDescent="0.35">
      <c r="A19" s="456"/>
      <c r="B19" s="428" t="s">
        <v>341</v>
      </c>
      <c r="C19" s="415" t="s">
        <v>291</v>
      </c>
      <c r="D19" s="453" t="s">
        <v>88</v>
      </c>
      <c r="E19" s="410" t="s">
        <v>335</v>
      </c>
      <c r="F19" s="410">
        <v>250</v>
      </c>
      <c r="G19" s="410">
        <v>250</v>
      </c>
      <c r="H19" s="364">
        <v>48.285624999999932</v>
      </c>
      <c r="I19" s="364">
        <v>32.383333333333333</v>
      </c>
      <c r="J19" s="411">
        <f t="shared" si="0"/>
        <v>16.095208333333311</v>
      </c>
      <c r="K19" s="411">
        <f t="shared" si="1"/>
        <v>10.794444444444444</v>
      </c>
      <c r="L19" s="496">
        <f t="shared" si="2"/>
        <v>48.285624999999932</v>
      </c>
      <c r="M19" s="496">
        <f t="shared" si="3"/>
        <v>32.383333333333333</v>
      </c>
      <c r="N19" s="404">
        <f t="shared" si="4"/>
        <v>11.024115296803638</v>
      </c>
      <c r="O19" s="411">
        <f t="shared" si="5"/>
        <v>7.3934550989345507</v>
      </c>
      <c r="P19" s="480">
        <f t="shared" si="6"/>
        <v>33.072345890410915</v>
      </c>
      <c r="Q19" s="480">
        <f t="shared" si="7"/>
        <v>22.18036529680365</v>
      </c>
      <c r="R19" s="404">
        <f t="shared" si="8"/>
        <v>5.6533924598993011</v>
      </c>
      <c r="S19" s="411">
        <f t="shared" si="9"/>
        <v>2.938424462397065</v>
      </c>
      <c r="T19" s="416">
        <v>18</v>
      </c>
      <c r="U19" s="211" t="s">
        <v>342</v>
      </c>
      <c r="V19" s="448" t="s">
        <v>63</v>
      </c>
      <c r="W19" s="44"/>
      <c r="X19" s="44"/>
      <c r="Y19" s="44"/>
      <c r="Z19" s="44"/>
      <c r="AA19" s="44"/>
      <c r="AB19" s="44"/>
      <c r="AC19" s="44"/>
      <c r="AD19" s="44"/>
      <c r="AE19" s="44"/>
      <c r="AF19" s="44"/>
      <c r="AG19" s="44"/>
    </row>
    <row r="20" spans="1:33" x14ac:dyDescent="0.35">
      <c r="A20" s="456"/>
      <c r="B20" s="428">
        <v>4</v>
      </c>
      <c r="C20" s="418" t="s">
        <v>281</v>
      </c>
      <c r="D20" s="450" t="s">
        <v>88</v>
      </c>
      <c r="E20" s="410" t="s">
        <v>335</v>
      </c>
      <c r="F20" s="410">
        <v>250</v>
      </c>
      <c r="G20" s="410">
        <v>250</v>
      </c>
      <c r="H20" s="411">
        <v>1.1399999999999992</v>
      </c>
      <c r="I20" s="411">
        <v>4.9497474683058318E-4</v>
      </c>
      <c r="J20" s="411">
        <f t="shared" si="0"/>
        <v>0.37999999999999973</v>
      </c>
      <c r="K20" s="411">
        <f t="shared" si="1"/>
        <v>1.6499158227686105E-4</v>
      </c>
      <c r="L20" s="496">
        <f t="shared" si="2"/>
        <v>1.1399999999999992</v>
      </c>
      <c r="M20" s="496">
        <f t="shared" si="3"/>
        <v>4.9497474683058318E-4</v>
      </c>
      <c r="N20" s="404">
        <f t="shared" si="4"/>
        <v>0.26027397260273955</v>
      </c>
      <c r="O20" s="411">
        <f t="shared" si="5"/>
        <v>1.1300793306634319E-4</v>
      </c>
      <c r="P20" s="480">
        <f t="shared" si="6"/>
        <v>0.78082191780821864</v>
      </c>
      <c r="Q20" s="480">
        <f t="shared" si="7"/>
        <v>3.3902379919902958E-4</v>
      </c>
      <c r="R20" s="404">
        <f t="shared" si="8"/>
        <v>0.13347383210396899</v>
      </c>
      <c r="S20" s="411">
        <f t="shared" si="9"/>
        <v>4.4913409295597938E-5</v>
      </c>
      <c r="T20" s="24">
        <v>30</v>
      </c>
      <c r="U20" s="422" t="s">
        <v>343</v>
      </c>
      <c r="V20" s="448" t="s">
        <v>63</v>
      </c>
      <c r="W20" s="44"/>
      <c r="X20" s="44"/>
      <c r="Y20" s="44"/>
      <c r="Z20" s="44"/>
      <c r="AA20" s="44"/>
      <c r="AB20" s="44"/>
      <c r="AC20" s="44"/>
      <c r="AD20" s="44"/>
      <c r="AE20" s="44"/>
      <c r="AF20" s="44"/>
      <c r="AG20" s="44"/>
    </row>
    <row r="21" spans="1:33" x14ac:dyDescent="0.35">
      <c r="A21" s="455"/>
      <c r="B21" s="428" t="s">
        <v>344</v>
      </c>
      <c r="C21" s="415" t="s">
        <v>279</v>
      </c>
      <c r="D21" s="561" t="s">
        <v>91</v>
      </c>
      <c r="E21" s="410" t="s">
        <v>340</v>
      </c>
      <c r="F21" s="410">
        <v>250</v>
      </c>
      <c r="G21" s="410">
        <v>250</v>
      </c>
      <c r="H21" s="364">
        <v>2.9029606514955475</v>
      </c>
      <c r="I21" s="364">
        <v>1.3119149098104881</v>
      </c>
      <c r="J21" s="411">
        <f t="shared" si="0"/>
        <v>1.4514803257477737</v>
      </c>
      <c r="K21" s="411">
        <f t="shared" si="1"/>
        <v>0.65595745490524404</v>
      </c>
      <c r="L21" s="496">
        <f t="shared" si="2"/>
        <v>2.9029606514955475</v>
      </c>
      <c r="M21" s="496">
        <f t="shared" si="3"/>
        <v>1.3119149098104881</v>
      </c>
      <c r="N21" s="404">
        <f t="shared" si="4"/>
        <v>0.99416460667655748</v>
      </c>
      <c r="O21" s="411">
        <f t="shared" si="5"/>
        <v>0.44928592801729045</v>
      </c>
      <c r="P21" s="480">
        <f t="shared" si="6"/>
        <v>1.988329213353115</v>
      </c>
      <c r="Q21" s="480">
        <f t="shared" si="7"/>
        <v>0.8985718560345809</v>
      </c>
      <c r="R21" s="404">
        <f t="shared" si="8"/>
        <v>0.50982800342387558</v>
      </c>
      <c r="S21" s="411">
        <f t="shared" si="9"/>
        <v>0.17856235600687184</v>
      </c>
      <c r="T21" s="416">
        <v>4</v>
      </c>
      <c r="U21" s="211" t="s">
        <v>342</v>
      </c>
      <c r="V21" s="448" t="s">
        <v>63</v>
      </c>
      <c r="W21" s="44"/>
      <c r="X21" s="44"/>
      <c r="Y21" s="44"/>
      <c r="Z21" s="44"/>
      <c r="AA21" s="44"/>
      <c r="AB21" s="44"/>
      <c r="AC21" s="44"/>
      <c r="AD21" s="44"/>
      <c r="AE21" s="44"/>
      <c r="AF21" s="44"/>
      <c r="AG21" s="44"/>
    </row>
    <row r="22" spans="1:33" x14ac:dyDescent="0.35">
      <c r="A22" s="456"/>
      <c r="B22" s="428" t="s">
        <v>344</v>
      </c>
      <c r="C22" s="415" t="s">
        <v>279</v>
      </c>
      <c r="D22" s="561" t="s">
        <v>88</v>
      </c>
      <c r="E22" s="410" t="s">
        <v>340</v>
      </c>
      <c r="F22" s="410">
        <v>250</v>
      </c>
      <c r="G22" s="410">
        <v>250</v>
      </c>
      <c r="H22" s="364">
        <v>12.807453002511606</v>
      </c>
      <c r="I22" s="364">
        <v>4.2520930055559791</v>
      </c>
      <c r="J22" s="411">
        <f t="shared" si="0"/>
        <v>6.4037265012558029</v>
      </c>
      <c r="K22" s="411">
        <f t="shared" si="1"/>
        <v>2.1260465027779896</v>
      </c>
      <c r="L22" s="496">
        <f t="shared" si="2"/>
        <v>12.807453002511606</v>
      </c>
      <c r="M22" s="496">
        <f t="shared" si="3"/>
        <v>4.2520930055559791</v>
      </c>
      <c r="N22" s="404">
        <f t="shared" si="4"/>
        <v>4.3861140419560289</v>
      </c>
      <c r="O22" s="411">
        <f t="shared" si="5"/>
        <v>1.456196234779445</v>
      </c>
      <c r="P22" s="480">
        <f t="shared" si="6"/>
        <v>8.7722280839120579</v>
      </c>
      <c r="Q22" s="480">
        <f t="shared" si="7"/>
        <v>2.9123924695588901</v>
      </c>
      <c r="R22" s="404">
        <f t="shared" si="8"/>
        <v>2.2492892522851431</v>
      </c>
      <c r="S22" s="411">
        <f t="shared" si="9"/>
        <v>0.57874465741234349</v>
      </c>
      <c r="T22" s="416">
        <v>30</v>
      </c>
      <c r="U22" s="211" t="s">
        <v>342</v>
      </c>
      <c r="V22" s="448" t="s">
        <v>63</v>
      </c>
      <c r="W22" s="44"/>
      <c r="X22" s="44"/>
      <c r="Y22" s="44"/>
      <c r="Z22" s="44"/>
      <c r="AA22" s="44"/>
      <c r="AB22" s="44"/>
      <c r="AC22" s="44"/>
      <c r="AD22" s="44"/>
      <c r="AE22" s="44"/>
      <c r="AF22" s="44"/>
      <c r="AG22" s="44"/>
    </row>
    <row r="23" spans="1:33" x14ac:dyDescent="0.35">
      <c r="A23" s="455"/>
      <c r="B23" s="428">
        <v>1</v>
      </c>
      <c r="C23" s="415" t="s">
        <v>276</v>
      </c>
      <c r="D23" s="561" t="s">
        <v>91</v>
      </c>
      <c r="E23" s="410" t="s">
        <v>335</v>
      </c>
      <c r="F23" s="410">
        <v>250</v>
      </c>
      <c r="G23" s="410">
        <v>250</v>
      </c>
      <c r="H23" s="364" t="s">
        <v>245</v>
      </c>
      <c r="I23" s="364" t="s">
        <v>245</v>
      </c>
      <c r="J23" s="411" t="str">
        <f t="shared" si="0"/>
        <v>--</v>
      </c>
      <c r="K23" s="411" t="str">
        <f t="shared" si="1"/>
        <v>--</v>
      </c>
      <c r="L23" s="496" t="str">
        <f t="shared" si="2"/>
        <v>--</v>
      </c>
      <c r="M23" s="496" t="str">
        <f t="shared" si="3"/>
        <v>--</v>
      </c>
      <c r="N23" s="404" t="str">
        <f t="shared" si="4"/>
        <v>--</v>
      </c>
      <c r="O23" s="411" t="str">
        <f t="shared" si="5"/>
        <v>--</v>
      </c>
      <c r="P23" s="480" t="str">
        <f t="shared" si="6"/>
        <v>--</v>
      </c>
      <c r="Q23" s="480" t="str">
        <f t="shared" si="7"/>
        <v>--</v>
      </c>
      <c r="R23" s="404" t="str">
        <f t="shared" si="8"/>
        <v>--</v>
      </c>
      <c r="S23" s="411" t="str">
        <f t="shared" si="9"/>
        <v>--</v>
      </c>
      <c r="T23" s="416">
        <v>0</v>
      </c>
      <c r="U23" s="211"/>
      <c r="V23" s="448" t="s">
        <v>63</v>
      </c>
      <c r="W23" s="44"/>
      <c r="X23" s="44"/>
      <c r="Y23" s="44"/>
      <c r="Z23" s="44"/>
      <c r="AA23" s="44"/>
      <c r="AB23" s="44"/>
      <c r="AC23" s="44"/>
      <c r="AD23" s="44"/>
      <c r="AE23" s="44"/>
      <c r="AF23" s="44"/>
      <c r="AG23" s="44"/>
    </row>
    <row r="24" spans="1:33" x14ac:dyDescent="0.35">
      <c r="A24" s="429">
        <v>1</v>
      </c>
      <c r="B24" s="428">
        <v>1</v>
      </c>
      <c r="C24" s="415" t="s">
        <v>276</v>
      </c>
      <c r="D24" s="49" t="s">
        <v>88</v>
      </c>
      <c r="E24" s="410" t="s">
        <v>335</v>
      </c>
      <c r="F24" s="419">
        <v>250</v>
      </c>
      <c r="G24" s="419">
        <v>250</v>
      </c>
      <c r="H24" s="364">
        <v>2.4589999999999992</v>
      </c>
      <c r="I24" s="364">
        <v>0.115</v>
      </c>
      <c r="J24" s="411">
        <f t="shared" si="0"/>
        <v>0.81966666666666643</v>
      </c>
      <c r="K24" s="411">
        <f t="shared" si="1"/>
        <v>3.8333333333333337E-2</v>
      </c>
      <c r="L24" s="496">
        <f t="shared" si="2"/>
        <v>2.4589999999999992</v>
      </c>
      <c r="M24" s="496">
        <f t="shared" si="3"/>
        <v>0.115</v>
      </c>
      <c r="N24" s="404">
        <f t="shared" si="4"/>
        <v>0.56141552511415505</v>
      </c>
      <c r="O24" s="411">
        <f t="shared" si="5"/>
        <v>2.625570776255708E-2</v>
      </c>
      <c r="P24" s="480">
        <f t="shared" si="6"/>
        <v>1.6842465753424654</v>
      </c>
      <c r="Q24" s="480">
        <f t="shared" si="7"/>
        <v>7.8767123287671229E-2</v>
      </c>
      <c r="R24" s="404">
        <f t="shared" si="8"/>
        <v>0.2879053974944385</v>
      </c>
      <c r="S24" s="411">
        <f t="shared" si="9"/>
        <v>1.0434960777426533E-2</v>
      </c>
      <c r="T24" s="416">
        <v>50</v>
      </c>
      <c r="U24" s="420" t="s">
        <v>349</v>
      </c>
      <c r="V24" s="448" t="s">
        <v>63</v>
      </c>
      <c r="W24" s="44"/>
      <c r="X24" s="44"/>
      <c r="Y24" s="44"/>
      <c r="Z24" s="44"/>
      <c r="AA24" s="44"/>
      <c r="AB24" s="44"/>
      <c r="AC24" s="44"/>
      <c r="AD24" s="44"/>
      <c r="AE24" s="44"/>
      <c r="AF24" s="44"/>
      <c r="AG24" s="44"/>
    </row>
    <row r="25" spans="1:33" x14ac:dyDescent="0.35">
      <c r="A25" s="456"/>
      <c r="B25" s="428">
        <v>13</v>
      </c>
      <c r="C25" s="444" t="s">
        <v>303</v>
      </c>
      <c r="D25" s="24" t="s">
        <v>91</v>
      </c>
      <c r="E25" s="410" t="s">
        <v>335</v>
      </c>
      <c r="F25" s="410">
        <v>250</v>
      </c>
      <c r="G25" s="410">
        <v>250</v>
      </c>
      <c r="H25" s="411" t="s">
        <v>245</v>
      </c>
      <c r="I25" s="411" t="s">
        <v>245</v>
      </c>
      <c r="J25" s="411" t="str">
        <f t="shared" si="0"/>
        <v>--</v>
      </c>
      <c r="K25" s="411" t="str">
        <f t="shared" si="1"/>
        <v>--</v>
      </c>
      <c r="L25" s="496" t="str">
        <f t="shared" si="2"/>
        <v>--</v>
      </c>
      <c r="M25" s="496" t="str">
        <f t="shared" si="3"/>
        <v>--</v>
      </c>
      <c r="N25" s="404" t="str">
        <f t="shared" si="4"/>
        <v>--</v>
      </c>
      <c r="O25" s="411" t="str">
        <f t="shared" si="5"/>
        <v>--</v>
      </c>
      <c r="P25" s="480" t="str">
        <f t="shared" si="6"/>
        <v>--</v>
      </c>
      <c r="Q25" s="480" t="str">
        <f t="shared" si="7"/>
        <v>--</v>
      </c>
      <c r="R25" s="404" t="str">
        <f t="shared" si="8"/>
        <v>--</v>
      </c>
      <c r="S25" s="411" t="str">
        <f t="shared" si="9"/>
        <v>--</v>
      </c>
      <c r="T25" s="412">
        <v>0</v>
      </c>
      <c r="U25" s="48"/>
      <c r="V25" s="447" t="s">
        <v>63</v>
      </c>
      <c r="W25" s="44"/>
      <c r="X25" s="44"/>
      <c r="Y25" s="44"/>
      <c r="Z25" s="44"/>
      <c r="AA25" s="44"/>
      <c r="AB25" s="44"/>
      <c r="AC25" s="44"/>
      <c r="AD25" s="44"/>
      <c r="AE25" s="44"/>
      <c r="AF25" s="44"/>
      <c r="AG25" s="44"/>
    </row>
    <row r="26" spans="1:33" x14ac:dyDescent="0.35">
      <c r="A26" s="456"/>
      <c r="B26" s="428">
        <v>13</v>
      </c>
      <c r="C26" s="445" t="s">
        <v>303</v>
      </c>
      <c r="D26" s="452" t="s">
        <v>88</v>
      </c>
      <c r="E26" s="410" t="s">
        <v>335</v>
      </c>
      <c r="F26" s="419">
        <v>250</v>
      </c>
      <c r="G26" s="419">
        <v>250</v>
      </c>
      <c r="H26" s="364">
        <v>75.374999999999986</v>
      </c>
      <c r="I26" s="364">
        <v>69.685416666666669</v>
      </c>
      <c r="J26" s="411">
        <f t="shared" si="0"/>
        <v>25.124999999999996</v>
      </c>
      <c r="K26" s="411">
        <f t="shared" si="1"/>
        <v>23.228472222222223</v>
      </c>
      <c r="L26" s="496">
        <f t="shared" si="2"/>
        <v>75.374999999999986</v>
      </c>
      <c r="M26" s="496">
        <f t="shared" si="3"/>
        <v>69.685416666666669</v>
      </c>
      <c r="N26" s="404">
        <f t="shared" si="4"/>
        <v>17.208904109589039</v>
      </c>
      <c r="O26" s="411">
        <f t="shared" si="5"/>
        <v>15.909912480974125</v>
      </c>
      <c r="P26" s="480">
        <f t="shared" si="6"/>
        <v>51.626712328767113</v>
      </c>
      <c r="Q26" s="480">
        <f t="shared" si="7"/>
        <v>47.729737442922378</v>
      </c>
      <c r="R26" s="404">
        <f t="shared" si="8"/>
        <v>8.8250790305584808</v>
      </c>
      <c r="S26" s="411">
        <f t="shared" si="9"/>
        <v>6.3231703450025369</v>
      </c>
      <c r="T26" s="416">
        <v>3</v>
      </c>
      <c r="U26" s="417"/>
      <c r="V26" s="448" t="s">
        <v>63</v>
      </c>
      <c r="W26" s="421"/>
      <c r="X26" s="44"/>
      <c r="Y26" s="44"/>
      <c r="Z26" s="44"/>
      <c r="AA26" s="44"/>
      <c r="AB26" s="44"/>
      <c r="AC26" s="44"/>
      <c r="AD26" s="44"/>
      <c r="AE26" s="44"/>
      <c r="AF26" s="44"/>
      <c r="AG26" s="44"/>
    </row>
    <row r="27" spans="1:33" x14ac:dyDescent="0.35">
      <c r="A27" s="456"/>
      <c r="B27" s="433" t="s">
        <v>346</v>
      </c>
      <c r="C27" s="363" t="s">
        <v>302</v>
      </c>
      <c r="D27" s="450" t="s">
        <v>88</v>
      </c>
      <c r="E27" s="52" t="s">
        <v>335</v>
      </c>
      <c r="F27" s="270">
        <v>293</v>
      </c>
      <c r="G27" s="270">
        <v>258</v>
      </c>
      <c r="H27" s="411">
        <v>2.851</v>
      </c>
      <c r="I27" s="411">
        <v>0.38287163299663296</v>
      </c>
      <c r="J27" s="404">
        <f t="shared" si="0"/>
        <v>0.95033333333333336</v>
      </c>
      <c r="K27" s="404">
        <f t="shared" si="1"/>
        <v>0.12762387766554431</v>
      </c>
      <c r="L27" s="496">
        <f t="shared" si="2"/>
        <v>2.851</v>
      </c>
      <c r="M27" s="496">
        <f t="shared" si="3"/>
        <v>0.38287163299663296</v>
      </c>
      <c r="N27" s="404">
        <f t="shared" si="4"/>
        <v>0.67174246575342467</v>
      </c>
      <c r="O27" s="404">
        <f t="shared" si="5"/>
        <v>9.0210850514275159E-2</v>
      </c>
      <c r="P27" s="480">
        <f t="shared" si="6"/>
        <v>2.0152273972602739</v>
      </c>
      <c r="Q27" s="480">
        <f t="shared" si="7"/>
        <v>0.27063255154282545</v>
      </c>
      <c r="R27" s="404">
        <f t="shared" si="8"/>
        <v>0.34448331577098701</v>
      </c>
      <c r="S27" s="404">
        <f t="shared" si="9"/>
        <v>3.5853030332596535E-2</v>
      </c>
      <c r="T27" s="38">
        <v>8</v>
      </c>
      <c r="U27" s="77" t="s">
        <v>347</v>
      </c>
      <c r="V27" s="317" t="s">
        <v>63</v>
      </c>
      <c r="W27" s="421"/>
      <c r="X27" s="44"/>
      <c r="Y27" s="44"/>
      <c r="Z27" s="44"/>
      <c r="AA27" s="44"/>
      <c r="AB27" s="44"/>
      <c r="AC27" s="44"/>
      <c r="AD27" s="44"/>
      <c r="AE27" s="44"/>
      <c r="AF27" s="44"/>
      <c r="AG27" s="44"/>
    </row>
    <row r="28" spans="1:33" x14ac:dyDescent="0.35">
      <c r="A28" s="456"/>
      <c r="B28" s="430" t="s">
        <v>348</v>
      </c>
      <c r="C28" s="415" t="s">
        <v>284</v>
      </c>
      <c r="D28" s="49" t="s">
        <v>88</v>
      </c>
      <c r="E28" s="410" t="s">
        <v>335</v>
      </c>
      <c r="F28" s="410">
        <v>250</v>
      </c>
      <c r="G28" s="410">
        <v>250</v>
      </c>
      <c r="H28" s="364">
        <v>2.4589999999999992</v>
      </c>
      <c r="I28" s="364">
        <v>0.115</v>
      </c>
      <c r="J28" s="411">
        <f t="shared" si="0"/>
        <v>0.81966666666666643</v>
      </c>
      <c r="K28" s="411">
        <f t="shared" si="1"/>
        <v>3.8333333333333337E-2</v>
      </c>
      <c r="L28" s="496">
        <f t="shared" si="2"/>
        <v>2.4589999999999992</v>
      </c>
      <c r="M28" s="496">
        <f t="shared" si="3"/>
        <v>0.115</v>
      </c>
      <c r="N28" s="404">
        <f t="shared" si="4"/>
        <v>0.56141552511415505</v>
      </c>
      <c r="O28" s="411">
        <f t="shared" si="5"/>
        <v>2.625570776255708E-2</v>
      </c>
      <c r="P28" s="480">
        <f t="shared" si="6"/>
        <v>1.6842465753424654</v>
      </c>
      <c r="Q28" s="480">
        <f t="shared" si="7"/>
        <v>7.8767123287671229E-2</v>
      </c>
      <c r="R28" s="404">
        <f t="shared" si="8"/>
        <v>0.2879053974944385</v>
      </c>
      <c r="S28" s="411">
        <f t="shared" si="9"/>
        <v>1.0434960777426533E-2</v>
      </c>
      <c r="T28" s="416">
        <v>50</v>
      </c>
      <c r="U28" s="420" t="s">
        <v>345</v>
      </c>
      <c r="V28" s="448" t="s">
        <v>63</v>
      </c>
      <c r="W28" s="421"/>
      <c r="X28" s="44"/>
      <c r="Y28" s="44"/>
      <c r="Z28" s="44"/>
      <c r="AA28" s="44"/>
      <c r="AB28" s="44"/>
      <c r="AC28" s="44"/>
      <c r="AD28" s="44"/>
      <c r="AE28" s="44"/>
      <c r="AF28" s="44"/>
      <c r="AG28" s="44"/>
    </row>
    <row r="29" spans="1:33" ht="26.5" x14ac:dyDescent="0.35">
      <c r="A29" s="456"/>
      <c r="B29" s="428" t="s">
        <v>350</v>
      </c>
      <c r="C29" s="444" t="s">
        <v>283</v>
      </c>
      <c r="D29" s="561" t="s">
        <v>88</v>
      </c>
      <c r="E29" s="410" t="s">
        <v>335</v>
      </c>
      <c r="F29" s="419">
        <v>250</v>
      </c>
      <c r="G29" s="419">
        <v>250</v>
      </c>
      <c r="H29" s="411">
        <v>1.1399999999999992</v>
      </c>
      <c r="I29" s="411">
        <v>4.9497474683058318E-4</v>
      </c>
      <c r="J29" s="411">
        <f t="shared" si="0"/>
        <v>0.37999999999999973</v>
      </c>
      <c r="K29" s="411">
        <f t="shared" si="1"/>
        <v>1.6499158227686105E-4</v>
      </c>
      <c r="L29" s="496">
        <f t="shared" si="2"/>
        <v>1.1399999999999992</v>
      </c>
      <c r="M29" s="496">
        <f t="shared" si="3"/>
        <v>4.9497474683058318E-4</v>
      </c>
      <c r="N29" s="404">
        <f t="shared" si="4"/>
        <v>0.26027397260273955</v>
      </c>
      <c r="O29" s="411">
        <f t="shared" si="5"/>
        <v>1.1300793306634319E-4</v>
      </c>
      <c r="P29" s="480">
        <f t="shared" si="6"/>
        <v>0.78082191780821864</v>
      </c>
      <c r="Q29" s="480">
        <f t="shared" si="7"/>
        <v>3.3902379919902958E-4</v>
      </c>
      <c r="R29" s="404">
        <f t="shared" si="8"/>
        <v>0.13347383210396899</v>
      </c>
      <c r="S29" s="411">
        <f t="shared" si="9"/>
        <v>4.4913409295597938E-5</v>
      </c>
      <c r="T29" s="412">
        <v>33</v>
      </c>
      <c r="U29" s="48" t="s">
        <v>343</v>
      </c>
      <c r="V29" s="447" t="s">
        <v>63</v>
      </c>
      <c r="W29" s="44"/>
      <c r="X29" s="44"/>
      <c r="Y29" s="44"/>
      <c r="Z29" s="44"/>
      <c r="AA29" s="44"/>
      <c r="AB29" s="44"/>
      <c r="AC29" s="44"/>
      <c r="AD29" s="44"/>
      <c r="AE29" s="44"/>
      <c r="AF29" s="44"/>
      <c r="AG29" s="44"/>
    </row>
    <row r="30" spans="1:33" x14ac:dyDescent="0.35">
      <c r="A30" s="456"/>
      <c r="B30" s="428">
        <v>3</v>
      </c>
      <c r="C30" s="418" t="s">
        <v>278</v>
      </c>
      <c r="D30" s="49" t="s">
        <v>88</v>
      </c>
      <c r="E30" s="410" t="s">
        <v>335</v>
      </c>
      <c r="F30" s="410">
        <v>250</v>
      </c>
      <c r="G30" s="410">
        <v>250</v>
      </c>
      <c r="H30" s="364">
        <v>2.4589999999999992</v>
      </c>
      <c r="I30" s="364">
        <v>0.115</v>
      </c>
      <c r="J30" s="411">
        <f t="shared" si="0"/>
        <v>0.81966666666666643</v>
      </c>
      <c r="K30" s="411">
        <f t="shared" si="1"/>
        <v>3.8333333333333337E-2</v>
      </c>
      <c r="L30" s="496">
        <f t="shared" si="2"/>
        <v>2.4589999999999992</v>
      </c>
      <c r="M30" s="496">
        <f t="shared" si="3"/>
        <v>0.115</v>
      </c>
      <c r="N30" s="404">
        <f t="shared" si="4"/>
        <v>0.56141552511415505</v>
      </c>
      <c r="O30" s="411">
        <f t="shared" si="5"/>
        <v>2.625570776255708E-2</v>
      </c>
      <c r="P30" s="480">
        <f t="shared" si="6"/>
        <v>1.6842465753424654</v>
      </c>
      <c r="Q30" s="480">
        <f t="shared" si="7"/>
        <v>7.8767123287671229E-2</v>
      </c>
      <c r="R30" s="404">
        <f t="shared" si="8"/>
        <v>0.2879053974944385</v>
      </c>
      <c r="S30" s="411">
        <f t="shared" si="9"/>
        <v>1.0434960777426533E-2</v>
      </c>
      <c r="T30" s="416">
        <v>50</v>
      </c>
      <c r="U30" s="420" t="s">
        <v>345</v>
      </c>
      <c r="V30" s="448" t="s">
        <v>63</v>
      </c>
      <c r="W30" s="44"/>
      <c r="X30" s="44"/>
      <c r="Y30" s="44"/>
      <c r="Z30" s="44"/>
      <c r="AA30" s="44"/>
      <c r="AB30" s="44"/>
      <c r="AC30" s="44"/>
      <c r="AD30" s="44"/>
      <c r="AE30" s="44"/>
      <c r="AF30" s="44"/>
      <c r="AG30" s="44"/>
    </row>
    <row r="31" spans="1:33" x14ac:dyDescent="0.35">
      <c r="A31" s="456"/>
      <c r="B31" s="428">
        <v>6</v>
      </c>
      <c r="C31" s="444" t="s">
        <v>282</v>
      </c>
      <c r="D31" s="24" t="s">
        <v>91</v>
      </c>
      <c r="E31" s="410" t="s">
        <v>335</v>
      </c>
      <c r="F31" s="410">
        <v>250</v>
      </c>
      <c r="G31" s="410">
        <v>250</v>
      </c>
      <c r="H31" s="411" t="s">
        <v>245</v>
      </c>
      <c r="I31" s="411" t="s">
        <v>245</v>
      </c>
      <c r="J31" s="411" t="str">
        <f t="shared" si="0"/>
        <v>--</v>
      </c>
      <c r="K31" s="411" t="str">
        <f t="shared" si="1"/>
        <v>--</v>
      </c>
      <c r="L31" s="496" t="str">
        <f t="shared" si="2"/>
        <v>--</v>
      </c>
      <c r="M31" s="496" t="str">
        <f t="shared" si="3"/>
        <v>--</v>
      </c>
      <c r="N31" s="404" t="str">
        <f t="shared" si="4"/>
        <v>--</v>
      </c>
      <c r="O31" s="411" t="str">
        <f t="shared" si="5"/>
        <v>--</v>
      </c>
      <c r="P31" s="480" t="str">
        <f t="shared" si="6"/>
        <v>--</v>
      </c>
      <c r="Q31" s="480" t="str">
        <f t="shared" si="7"/>
        <v>--</v>
      </c>
      <c r="R31" s="404" t="str">
        <f t="shared" si="8"/>
        <v>--</v>
      </c>
      <c r="S31" s="411" t="str">
        <f t="shared" si="9"/>
        <v>--</v>
      </c>
      <c r="T31" s="412">
        <v>0</v>
      </c>
      <c r="U31" s="48"/>
      <c r="V31" s="447" t="s">
        <v>63</v>
      </c>
      <c r="W31" s="44"/>
      <c r="X31" s="44"/>
      <c r="Y31" s="44"/>
      <c r="Z31" s="44"/>
      <c r="AA31" s="44"/>
      <c r="AB31" s="44"/>
      <c r="AC31" s="44"/>
      <c r="AD31" s="44"/>
      <c r="AE31" s="44"/>
      <c r="AF31" s="44"/>
      <c r="AG31" s="44"/>
    </row>
    <row r="32" spans="1:33" x14ac:dyDescent="0.35">
      <c r="A32" s="456"/>
      <c r="B32" s="428">
        <v>6</v>
      </c>
      <c r="C32" s="444" t="s">
        <v>282</v>
      </c>
      <c r="D32" s="24" t="s">
        <v>88</v>
      </c>
      <c r="E32" s="410" t="s">
        <v>335</v>
      </c>
      <c r="F32" s="410">
        <v>250</v>
      </c>
      <c r="G32" s="410">
        <v>250</v>
      </c>
      <c r="H32" s="411">
        <v>1.1399999999999992</v>
      </c>
      <c r="I32" s="411">
        <v>4.9497474683058318E-4</v>
      </c>
      <c r="J32" s="411">
        <f t="shared" si="0"/>
        <v>0.37999999999999973</v>
      </c>
      <c r="K32" s="411">
        <f t="shared" si="1"/>
        <v>1.6499158227686105E-4</v>
      </c>
      <c r="L32" s="496">
        <f t="shared" si="2"/>
        <v>1.1399999999999992</v>
      </c>
      <c r="M32" s="496">
        <f t="shared" si="3"/>
        <v>4.9497474683058318E-4</v>
      </c>
      <c r="N32" s="404">
        <f t="shared" si="4"/>
        <v>0.26027397260273955</v>
      </c>
      <c r="O32" s="411">
        <f t="shared" si="5"/>
        <v>1.1300793306634319E-4</v>
      </c>
      <c r="P32" s="480">
        <f t="shared" si="6"/>
        <v>0.78082191780821864</v>
      </c>
      <c r="Q32" s="480">
        <f t="shared" si="7"/>
        <v>3.3902379919902958E-4</v>
      </c>
      <c r="R32" s="404">
        <f t="shared" si="8"/>
        <v>0.13347383210396899</v>
      </c>
      <c r="S32" s="411">
        <f t="shared" si="9"/>
        <v>4.4913409295597938E-5</v>
      </c>
      <c r="T32" s="412">
        <v>33</v>
      </c>
      <c r="U32" s="48"/>
      <c r="V32" s="447" t="s">
        <v>63</v>
      </c>
      <c r="W32" s="44"/>
      <c r="X32" s="44"/>
      <c r="Y32" s="44"/>
      <c r="Z32" s="44"/>
      <c r="AA32" s="44"/>
      <c r="AB32" s="44"/>
      <c r="AC32" s="44"/>
      <c r="AD32" s="44"/>
      <c r="AE32" s="44"/>
      <c r="AF32" s="44"/>
      <c r="AG32" s="44"/>
    </row>
    <row r="33" spans="1:33" x14ac:dyDescent="0.35">
      <c r="A33" s="429" t="s">
        <v>346</v>
      </c>
      <c r="B33" s="428" t="s">
        <v>346</v>
      </c>
      <c r="C33" s="444" t="s">
        <v>298</v>
      </c>
      <c r="D33" s="24" t="s">
        <v>91</v>
      </c>
      <c r="E33" s="410" t="s">
        <v>335</v>
      </c>
      <c r="F33" s="410">
        <v>293</v>
      </c>
      <c r="G33" s="410">
        <v>258</v>
      </c>
      <c r="H33" s="491" t="s">
        <v>245</v>
      </c>
      <c r="I33" s="491" t="s">
        <v>245</v>
      </c>
      <c r="J33" s="491" t="str">
        <f t="shared" si="0"/>
        <v>--</v>
      </c>
      <c r="K33" s="491" t="str">
        <f t="shared" si="1"/>
        <v>--</v>
      </c>
      <c r="L33" s="496" t="str">
        <f t="shared" si="2"/>
        <v>--</v>
      </c>
      <c r="M33" s="496" t="str">
        <f t="shared" si="3"/>
        <v>--</v>
      </c>
      <c r="N33" s="491" t="str">
        <f t="shared" si="4"/>
        <v>--</v>
      </c>
      <c r="O33" s="491" t="str">
        <f t="shared" si="5"/>
        <v>--</v>
      </c>
      <c r="P33" s="480" t="str">
        <f t="shared" si="6"/>
        <v>--</v>
      </c>
      <c r="Q33" s="480" t="str">
        <f t="shared" si="7"/>
        <v>--</v>
      </c>
      <c r="R33" s="491" t="str">
        <f t="shared" si="8"/>
        <v>--</v>
      </c>
      <c r="S33" s="491" t="str">
        <f t="shared" si="9"/>
        <v>--</v>
      </c>
      <c r="T33" s="412">
        <v>0</v>
      </c>
      <c r="U33" s="423"/>
      <c r="V33" s="447" t="s">
        <v>63</v>
      </c>
      <c r="W33" s="44"/>
      <c r="X33" s="44"/>
      <c r="Y33" s="44"/>
      <c r="Z33" s="44"/>
      <c r="AA33" s="44"/>
      <c r="AB33" s="44"/>
      <c r="AC33" s="44"/>
      <c r="AD33" s="44"/>
      <c r="AE33" s="44"/>
      <c r="AF33" s="44"/>
      <c r="AG33" s="44"/>
    </row>
    <row r="34" spans="1:33" x14ac:dyDescent="0.35">
      <c r="A34" s="456"/>
      <c r="B34" s="428" t="s">
        <v>346</v>
      </c>
      <c r="C34" s="444" t="s">
        <v>298</v>
      </c>
      <c r="D34" s="24" t="s">
        <v>88</v>
      </c>
      <c r="E34" s="410" t="s">
        <v>335</v>
      </c>
      <c r="F34" s="410">
        <v>293</v>
      </c>
      <c r="G34" s="410">
        <v>258</v>
      </c>
      <c r="H34" s="411">
        <v>2.851</v>
      </c>
      <c r="I34" s="411">
        <v>0.38287163299663296</v>
      </c>
      <c r="J34" s="411">
        <f t="shared" si="0"/>
        <v>0.95033333333333336</v>
      </c>
      <c r="K34" s="411">
        <f t="shared" si="1"/>
        <v>0.12762387766554431</v>
      </c>
      <c r="L34" s="496">
        <f t="shared" si="2"/>
        <v>2.851</v>
      </c>
      <c r="M34" s="496">
        <f t="shared" si="3"/>
        <v>0.38287163299663296</v>
      </c>
      <c r="N34" s="411">
        <f t="shared" si="4"/>
        <v>0.67174246575342467</v>
      </c>
      <c r="O34" s="411">
        <f t="shared" si="5"/>
        <v>9.0210850514275159E-2</v>
      </c>
      <c r="P34" s="496">
        <f t="shared" si="6"/>
        <v>2.0152273972602739</v>
      </c>
      <c r="Q34" s="496">
        <f t="shared" si="7"/>
        <v>0.27063255154282545</v>
      </c>
      <c r="R34" s="411">
        <f t="shared" si="8"/>
        <v>0.34448331577098701</v>
      </c>
      <c r="S34" s="411">
        <f t="shared" si="9"/>
        <v>3.5853030332596535E-2</v>
      </c>
      <c r="T34" s="412">
        <v>8</v>
      </c>
      <c r="U34" s="423"/>
      <c r="V34" s="447" t="s">
        <v>63</v>
      </c>
      <c r="W34" s="44"/>
      <c r="X34" s="44"/>
      <c r="Y34" s="44"/>
      <c r="Z34" s="44"/>
      <c r="AA34" s="44"/>
      <c r="AB34" s="44"/>
      <c r="AC34" s="44"/>
      <c r="AD34" s="44"/>
      <c r="AE34" s="44"/>
      <c r="AF34" s="44"/>
      <c r="AG34" s="44"/>
    </row>
    <row r="35" spans="1:33" ht="27" thickBot="1" x14ac:dyDescent="0.4">
      <c r="A35" s="456"/>
      <c r="B35" s="529" t="s">
        <v>346</v>
      </c>
      <c r="C35" s="530" t="s">
        <v>297</v>
      </c>
      <c r="D35" s="357" t="s">
        <v>88</v>
      </c>
      <c r="E35" s="424" t="s">
        <v>340</v>
      </c>
      <c r="F35" s="424">
        <v>293</v>
      </c>
      <c r="G35" s="424">
        <v>258</v>
      </c>
      <c r="H35" s="492">
        <v>0.93499999999999994</v>
      </c>
      <c r="I35" s="492">
        <v>0.93499999999999994</v>
      </c>
      <c r="J35" s="492">
        <f t="shared" si="0"/>
        <v>0.46749999999999997</v>
      </c>
      <c r="K35" s="492">
        <f t="shared" si="1"/>
        <v>0.46749999999999997</v>
      </c>
      <c r="L35" s="481">
        <f t="shared" si="2"/>
        <v>0.93499999999999994</v>
      </c>
      <c r="M35" s="481">
        <f t="shared" si="3"/>
        <v>0.93499999999999994</v>
      </c>
      <c r="N35" s="492">
        <f t="shared" si="4"/>
        <v>0.3304520547945205</v>
      </c>
      <c r="O35" s="492">
        <f t="shared" si="5"/>
        <v>0.33045205479452056</v>
      </c>
      <c r="P35" s="481">
        <f t="shared" si="6"/>
        <v>0.660904109589041</v>
      </c>
      <c r="Q35" s="481">
        <f t="shared" si="7"/>
        <v>0.66090410958904111</v>
      </c>
      <c r="R35" s="492">
        <f t="shared" si="8"/>
        <v>0.16946259220231821</v>
      </c>
      <c r="S35" s="492">
        <f t="shared" si="9"/>
        <v>0.13133350895679663</v>
      </c>
      <c r="T35" s="534">
        <v>1</v>
      </c>
      <c r="U35" s="536"/>
      <c r="V35" s="537" t="s">
        <v>63</v>
      </c>
      <c r="W35" s="44"/>
      <c r="X35" s="44"/>
      <c r="Y35" s="44"/>
      <c r="Z35" s="44"/>
      <c r="AA35" s="44"/>
      <c r="AB35" s="44"/>
      <c r="AC35" s="44"/>
      <c r="AD35" s="44"/>
      <c r="AE35" s="44"/>
      <c r="AF35" s="44"/>
      <c r="AG35" s="44"/>
    </row>
    <row r="36" spans="1:33" ht="26.5" x14ac:dyDescent="0.35">
      <c r="A36" s="456"/>
      <c r="B36" s="539" t="s">
        <v>351</v>
      </c>
      <c r="C36" s="540" t="s">
        <v>366</v>
      </c>
      <c r="D36" s="531" t="s">
        <v>91</v>
      </c>
      <c r="E36" s="541" t="s">
        <v>335</v>
      </c>
      <c r="F36" s="541">
        <v>250</v>
      </c>
      <c r="G36" s="541">
        <v>250</v>
      </c>
      <c r="H36" s="491">
        <v>1.04</v>
      </c>
      <c r="I36" s="491">
        <v>0.14000000000000001</v>
      </c>
      <c r="J36" s="491">
        <f t="shared" si="0"/>
        <v>0.34666666666666668</v>
      </c>
      <c r="K36" s="491">
        <f t="shared" si="1"/>
        <v>4.6666666666666669E-2</v>
      </c>
      <c r="L36" s="480">
        <f t="shared" si="2"/>
        <v>1.04</v>
      </c>
      <c r="M36" s="480">
        <f t="shared" si="3"/>
        <v>0.14000000000000001</v>
      </c>
      <c r="N36" s="411">
        <v>0.23799999999999999</v>
      </c>
      <c r="O36" s="411">
        <v>3.2000000000000001E-2</v>
      </c>
      <c r="P36" s="480">
        <f t="shared" si="6"/>
        <v>0.71232876712328763</v>
      </c>
      <c r="Q36" s="480">
        <f t="shared" si="7"/>
        <v>9.5890410958904104E-2</v>
      </c>
      <c r="R36" s="411">
        <v>9.2999999999999999E-2</v>
      </c>
      <c r="S36" s="411">
        <v>1.2E-2</v>
      </c>
      <c r="T36" s="542" t="s">
        <v>352</v>
      </c>
      <c r="U36" s="535" t="s">
        <v>353</v>
      </c>
      <c r="V36" s="543" t="s">
        <v>354</v>
      </c>
      <c r="W36" s="44"/>
      <c r="X36" s="44"/>
      <c r="Y36" s="44"/>
      <c r="Z36" s="44"/>
      <c r="AA36" s="44"/>
      <c r="AB36" s="44"/>
      <c r="AC36" s="44"/>
      <c r="AD36" s="44"/>
      <c r="AE36" s="44"/>
      <c r="AF36" s="44"/>
      <c r="AG36" s="44"/>
    </row>
    <row r="37" spans="1:33" ht="26.5" x14ac:dyDescent="0.35">
      <c r="A37" s="456"/>
      <c r="B37" s="428" t="s">
        <v>351</v>
      </c>
      <c r="C37" s="418" t="s">
        <v>366</v>
      </c>
      <c r="D37" s="450" t="s">
        <v>88</v>
      </c>
      <c r="E37" s="410" t="s">
        <v>335</v>
      </c>
      <c r="F37" s="410">
        <v>250</v>
      </c>
      <c r="G37" s="410">
        <v>250</v>
      </c>
      <c r="H37" s="411">
        <v>23.98</v>
      </c>
      <c r="I37" s="411">
        <v>7.63</v>
      </c>
      <c r="J37" s="411">
        <f t="shared" si="0"/>
        <v>7.9933333333333332</v>
      </c>
      <c r="K37" s="411">
        <f t="shared" si="1"/>
        <v>2.5433333333333334</v>
      </c>
      <c r="L37" s="496">
        <f t="shared" si="2"/>
        <v>23.98</v>
      </c>
      <c r="M37" s="496">
        <f t="shared" si="3"/>
        <v>7.63</v>
      </c>
      <c r="N37" s="411">
        <v>5.4749999999999996</v>
      </c>
      <c r="O37" s="411">
        <v>1.7410000000000001</v>
      </c>
      <c r="P37" s="480">
        <f t="shared" si="6"/>
        <v>16.424657534246574</v>
      </c>
      <c r="Q37" s="480">
        <f t="shared" si="7"/>
        <v>5.2260273972602738</v>
      </c>
      <c r="R37" s="411">
        <v>2.2090000000000001</v>
      </c>
      <c r="S37" s="411">
        <v>0.65300000000000002</v>
      </c>
      <c r="T37" s="412" t="s">
        <v>352</v>
      </c>
      <c r="U37" s="77" t="s">
        <v>353</v>
      </c>
      <c r="V37" s="447" t="s">
        <v>354</v>
      </c>
      <c r="W37" s="44"/>
      <c r="X37" s="44"/>
      <c r="Y37" s="44"/>
      <c r="Z37" s="44"/>
      <c r="AA37" s="44"/>
      <c r="AB37" s="44"/>
      <c r="AC37" s="44"/>
      <c r="AD37" s="44"/>
      <c r="AE37" s="44"/>
      <c r="AF37" s="44"/>
      <c r="AG37" s="44"/>
    </row>
    <row r="38" spans="1:33" x14ac:dyDescent="0.35">
      <c r="A38" s="457"/>
      <c r="B38" s="409" t="s">
        <v>338</v>
      </c>
      <c r="C38" s="418" t="s">
        <v>285</v>
      </c>
      <c r="D38" s="450" t="s">
        <v>91</v>
      </c>
      <c r="E38" s="410" t="s">
        <v>335</v>
      </c>
      <c r="F38" s="419">
        <v>250</v>
      </c>
      <c r="G38" s="419">
        <v>250</v>
      </c>
      <c r="H38" s="405">
        <v>237</v>
      </c>
      <c r="I38" s="532">
        <v>18.100000000000001</v>
      </c>
      <c r="J38" s="404">
        <f t="shared" si="0"/>
        <v>79</v>
      </c>
      <c r="K38" s="404">
        <f t="shared" si="1"/>
        <v>6.0333333333333341</v>
      </c>
      <c r="L38" s="496">
        <f t="shared" si="2"/>
        <v>237</v>
      </c>
      <c r="M38" s="496">
        <f t="shared" si="3"/>
        <v>18.100000000000001</v>
      </c>
      <c r="N38" s="532">
        <v>54</v>
      </c>
      <c r="O38" s="404">
        <v>4.1399999999999997</v>
      </c>
      <c r="P38" s="480">
        <f t="shared" si="6"/>
        <v>162.32876712328766</v>
      </c>
      <c r="Q38" s="480">
        <f t="shared" si="7"/>
        <v>12.397260273972602</v>
      </c>
      <c r="R38" s="404">
        <v>21.1</v>
      </c>
      <c r="S38" s="404">
        <v>1.54</v>
      </c>
      <c r="T38" s="412" t="s">
        <v>352</v>
      </c>
      <c r="U38" s="77" t="s">
        <v>355</v>
      </c>
      <c r="V38" s="447" t="s">
        <v>354</v>
      </c>
      <c r="W38" s="44"/>
      <c r="X38" s="44"/>
      <c r="Y38" s="44"/>
      <c r="Z38" s="44"/>
      <c r="AA38" s="44"/>
      <c r="AB38" s="44"/>
      <c r="AC38" s="44"/>
      <c r="AD38" s="44"/>
      <c r="AE38" s="44"/>
      <c r="AF38" s="44"/>
      <c r="AG38" s="44"/>
    </row>
    <row r="39" spans="1:33" x14ac:dyDescent="0.35">
      <c r="A39" s="457"/>
      <c r="B39" s="409" t="s">
        <v>338</v>
      </c>
      <c r="C39" s="418" t="s">
        <v>285</v>
      </c>
      <c r="D39" s="450" t="s">
        <v>88</v>
      </c>
      <c r="E39" s="410" t="s">
        <v>335</v>
      </c>
      <c r="F39" s="419">
        <v>250</v>
      </c>
      <c r="G39" s="419">
        <v>250</v>
      </c>
      <c r="H39" s="412">
        <v>388</v>
      </c>
      <c r="I39" s="493">
        <v>34.799999999999997</v>
      </c>
      <c r="J39" s="411">
        <f t="shared" si="0"/>
        <v>129.33333333333334</v>
      </c>
      <c r="K39" s="411">
        <f t="shared" si="1"/>
        <v>11.6</v>
      </c>
      <c r="L39" s="496">
        <f t="shared" si="2"/>
        <v>388</v>
      </c>
      <c r="M39" s="496">
        <f t="shared" si="3"/>
        <v>34.799999999999997</v>
      </c>
      <c r="N39" s="411">
        <v>88.5</v>
      </c>
      <c r="O39" s="411">
        <v>7.96</v>
      </c>
      <c r="P39" s="480">
        <f t="shared" si="6"/>
        <v>265.75342465753425</v>
      </c>
      <c r="Q39" s="480">
        <f t="shared" si="7"/>
        <v>23.835616438356166</v>
      </c>
      <c r="R39" s="493">
        <v>35.299999999999997</v>
      </c>
      <c r="S39" s="411">
        <v>2.96</v>
      </c>
      <c r="T39" s="412" t="s">
        <v>352</v>
      </c>
      <c r="U39" s="77" t="s">
        <v>355</v>
      </c>
      <c r="V39" s="447" t="s">
        <v>354</v>
      </c>
      <c r="W39" s="44"/>
      <c r="X39" s="44"/>
      <c r="Y39" s="44"/>
      <c r="Z39" s="44"/>
      <c r="AA39" s="44"/>
      <c r="AB39" s="44"/>
      <c r="AC39" s="44"/>
      <c r="AD39" s="44"/>
      <c r="AE39" s="44"/>
      <c r="AF39" s="44"/>
      <c r="AG39" s="44"/>
    </row>
    <row r="40" spans="1:33" x14ac:dyDescent="0.35">
      <c r="A40" s="457"/>
      <c r="B40" s="409">
        <v>10</v>
      </c>
      <c r="C40" s="418" t="s">
        <v>293</v>
      </c>
      <c r="D40" s="450" t="s">
        <v>91</v>
      </c>
      <c r="E40" s="410" t="s">
        <v>335</v>
      </c>
      <c r="F40" s="410">
        <v>250</v>
      </c>
      <c r="G40" s="410">
        <v>250</v>
      </c>
      <c r="H40" s="24">
        <v>34.700000000000003</v>
      </c>
      <c r="I40" s="24">
        <v>1.84</v>
      </c>
      <c r="J40" s="411">
        <f t="shared" si="0"/>
        <v>11.566666666666668</v>
      </c>
      <c r="K40" s="411">
        <f t="shared" si="1"/>
        <v>0.6133333333333334</v>
      </c>
      <c r="L40" s="496">
        <f t="shared" si="2"/>
        <v>34.700000000000003</v>
      </c>
      <c r="M40" s="496">
        <f t="shared" si="3"/>
        <v>1.84</v>
      </c>
      <c r="N40" s="24">
        <v>7.9</v>
      </c>
      <c r="O40" s="24">
        <v>0.42</v>
      </c>
      <c r="P40" s="480">
        <f t="shared" si="6"/>
        <v>23.767123287671232</v>
      </c>
      <c r="Q40" s="480">
        <f t="shared" si="7"/>
        <v>1.2602739726027397</v>
      </c>
      <c r="R40" s="24">
        <v>3.29</v>
      </c>
      <c r="S40" s="24">
        <v>0.15</v>
      </c>
      <c r="T40" s="412" t="s">
        <v>352</v>
      </c>
      <c r="U40" s="77" t="s">
        <v>355</v>
      </c>
      <c r="V40" s="447" t="s">
        <v>354</v>
      </c>
      <c r="W40" s="44"/>
      <c r="X40" s="44"/>
      <c r="Y40" s="44"/>
      <c r="Z40" s="44"/>
      <c r="AA40" s="44"/>
      <c r="AB40" s="44"/>
      <c r="AC40" s="44"/>
      <c r="AD40" s="44"/>
      <c r="AE40" s="44"/>
      <c r="AF40" s="44"/>
      <c r="AG40" s="44"/>
    </row>
    <row r="41" spans="1:33" x14ac:dyDescent="0.35">
      <c r="A41" s="22"/>
      <c r="B41" s="428">
        <v>10</v>
      </c>
      <c r="C41" s="418" t="s">
        <v>293</v>
      </c>
      <c r="D41" s="450" t="s">
        <v>88</v>
      </c>
      <c r="E41" s="410" t="s">
        <v>335</v>
      </c>
      <c r="F41" s="419">
        <v>250</v>
      </c>
      <c r="G41" s="419">
        <v>250</v>
      </c>
      <c r="H41" s="24">
        <v>57.2</v>
      </c>
      <c r="I41" s="24">
        <v>3.33</v>
      </c>
      <c r="J41" s="411">
        <f t="shared" si="0"/>
        <v>19.066666666666666</v>
      </c>
      <c r="K41" s="411">
        <f t="shared" si="1"/>
        <v>1.1100000000000001</v>
      </c>
      <c r="L41" s="496">
        <f t="shared" si="2"/>
        <v>57.2</v>
      </c>
      <c r="M41" s="496">
        <f t="shared" si="3"/>
        <v>3.33</v>
      </c>
      <c r="N41" s="24">
        <v>29.1</v>
      </c>
      <c r="O41" s="24">
        <v>0.76</v>
      </c>
      <c r="P41" s="480">
        <f t="shared" si="6"/>
        <v>39.178082191780824</v>
      </c>
      <c r="Q41" s="480">
        <f t="shared" si="7"/>
        <v>2.2808219178082192</v>
      </c>
      <c r="R41" s="24">
        <v>5.15</v>
      </c>
      <c r="S41" s="24">
        <v>0.28000000000000003</v>
      </c>
      <c r="T41" s="412" t="s">
        <v>352</v>
      </c>
      <c r="U41" s="77" t="s">
        <v>355</v>
      </c>
      <c r="V41" s="447" t="s">
        <v>354</v>
      </c>
      <c r="W41" s="44"/>
      <c r="X41" s="44"/>
      <c r="Y41" s="44"/>
      <c r="Z41" s="44"/>
      <c r="AA41" s="44"/>
      <c r="AB41" s="44"/>
      <c r="AC41" s="44"/>
      <c r="AD41" s="44"/>
      <c r="AE41" s="44"/>
      <c r="AF41" s="44"/>
      <c r="AG41" s="44"/>
    </row>
    <row r="42" spans="1:33" x14ac:dyDescent="0.35">
      <c r="A42" s="457"/>
      <c r="B42" s="428" t="s">
        <v>341</v>
      </c>
      <c r="C42" s="418" t="s">
        <v>291</v>
      </c>
      <c r="D42" s="450" t="s">
        <v>91</v>
      </c>
      <c r="E42" s="410" t="s">
        <v>335</v>
      </c>
      <c r="F42" s="410">
        <v>250</v>
      </c>
      <c r="G42" s="410">
        <v>250</v>
      </c>
      <c r="H42" s="412">
        <v>1878</v>
      </c>
      <c r="I42" s="493">
        <v>23.3</v>
      </c>
      <c r="J42" s="411">
        <f t="shared" si="0"/>
        <v>626</v>
      </c>
      <c r="K42" s="411">
        <f t="shared" si="1"/>
        <v>7.7666666666666666</v>
      </c>
      <c r="L42" s="496">
        <f t="shared" si="2"/>
        <v>1878</v>
      </c>
      <c r="M42" s="496">
        <f t="shared" si="3"/>
        <v>23.3</v>
      </c>
      <c r="N42" s="493">
        <v>428.8</v>
      </c>
      <c r="O42" s="411">
        <v>5.33</v>
      </c>
      <c r="P42" s="480">
        <f t="shared" si="6"/>
        <v>1286.3013698630136</v>
      </c>
      <c r="Q42" s="480">
        <f t="shared" si="7"/>
        <v>15.95890410958904</v>
      </c>
      <c r="R42" s="493">
        <v>168.3</v>
      </c>
      <c r="S42" s="411">
        <v>3.61</v>
      </c>
      <c r="T42" s="412" t="s">
        <v>352</v>
      </c>
      <c r="U42" s="77" t="s">
        <v>355</v>
      </c>
      <c r="V42" s="447" t="s">
        <v>354</v>
      </c>
      <c r="W42" s="44"/>
      <c r="X42" s="44"/>
      <c r="Y42" s="44"/>
      <c r="Z42" s="44"/>
      <c r="AA42" s="44"/>
      <c r="AB42" s="44"/>
      <c r="AC42" s="44"/>
      <c r="AD42" s="44"/>
      <c r="AE42" s="44"/>
      <c r="AF42" s="44"/>
      <c r="AG42" s="44"/>
    </row>
    <row r="43" spans="1:33" x14ac:dyDescent="0.35">
      <c r="A43" s="456"/>
      <c r="B43" s="428" t="s">
        <v>341</v>
      </c>
      <c r="C43" s="418" t="s">
        <v>291</v>
      </c>
      <c r="D43" s="450" t="s">
        <v>88</v>
      </c>
      <c r="E43" s="410" t="s">
        <v>335</v>
      </c>
      <c r="F43" s="419">
        <v>250</v>
      </c>
      <c r="G43" s="419">
        <v>250</v>
      </c>
      <c r="H43" s="412">
        <v>3043</v>
      </c>
      <c r="I43" s="493">
        <v>40.799999999999997</v>
      </c>
      <c r="J43" s="411">
        <f t="shared" si="0"/>
        <v>1014.3333333333334</v>
      </c>
      <c r="K43" s="411">
        <f t="shared" si="1"/>
        <v>13.6</v>
      </c>
      <c r="L43" s="496">
        <f t="shared" si="2"/>
        <v>3043</v>
      </c>
      <c r="M43" s="496">
        <f t="shared" si="3"/>
        <v>40.799999999999997</v>
      </c>
      <c r="N43" s="493">
        <v>694.8</v>
      </c>
      <c r="O43" s="493">
        <v>9.32</v>
      </c>
      <c r="P43" s="480">
        <f t="shared" si="6"/>
        <v>2084.2465753424658</v>
      </c>
      <c r="Q43" s="480">
        <f t="shared" si="7"/>
        <v>27.945205479452056</v>
      </c>
      <c r="R43" s="493">
        <v>275.2</v>
      </c>
      <c r="S43" s="411">
        <v>5.33</v>
      </c>
      <c r="T43" s="412" t="s">
        <v>352</v>
      </c>
      <c r="U43" s="77" t="s">
        <v>355</v>
      </c>
      <c r="V43" s="447" t="s">
        <v>354</v>
      </c>
      <c r="W43" s="44"/>
      <c r="X43" s="44"/>
      <c r="Y43" s="44"/>
      <c r="Z43" s="44"/>
      <c r="AA43" s="44"/>
      <c r="AB43" s="44"/>
      <c r="AC43" s="44"/>
      <c r="AD43" s="44"/>
      <c r="AE43" s="44"/>
      <c r="AF43" s="44"/>
      <c r="AG43" s="44"/>
    </row>
    <row r="44" spans="1:33" ht="39.5" x14ac:dyDescent="0.35">
      <c r="A44" s="456"/>
      <c r="B44" s="428">
        <v>13</v>
      </c>
      <c r="C44" s="444" t="s">
        <v>303</v>
      </c>
      <c r="D44" s="450" t="s">
        <v>88</v>
      </c>
      <c r="E44" s="410" t="s">
        <v>335</v>
      </c>
      <c r="F44" s="410">
        <v>250</v>
      </c>
      <c r="G44" s="410">
        <v>250</v>
      </c>
      <c r="H44" s="411">
        <v>0.26</v>
      </c>
      <c r="I44" s="411">
        <v>7.0000000000000007E-2</v>
      </c>
      <c r="J44" s="411">
        <f t="shared" si="0"/>
        <v>8.666666666666667E-2</v>
      </c>
      <c r="K44" s="411">
        <f t="shared" si="1"/>
        <v>2.3333333333333334E-2</v>
      </c>
      <c r="L44" s="496">
        <f t="shared" si="2"/>
        <v>0.26</v>
      </c>
      <c r="M44" s="496">
        <f t="shared" si="3"/>
        <v>7.0000000000000007E-2</v>
      </c>
      <c r="N44" s="24">
        <v>0.06</v>
      </c>
      <c r="O44" s="24">
        <v>1.6E-2</v>
      </c>
      <c r="P44" s="480">
        <f t="shared" si="6"/>
        <v>0.17808219178082191</v>
      </c>
      <c r="Q44" s="480">
        <f t="shared" si="7"/>
        <v>4.7945205479452052E-2</v>
      </c>
      <c r="R44" s="24">
        <v>0.03</v>
      </c>
      <c r="S44" s="24">
        <v>6.0000000000000001E-3</v>
      </c>
      <c r="T44" s="412" t="s">
        <v>352</v>
      </c>
      <c r="U44" s="48" t="s">
        <v>356</v>
      </c>
      <c r="V44" s="447" t="s">
        <v>354</v>
      </c>
      <c r="W44" s="44"/>
      <c r="X44" s="44"/>
      <c r="Y44" s="44"/>
      <c r="Z44" s="44"/>
      <c r="AA44" s="44"/>
      <c r="AB44" s="44"/>
      <c r="AC44" s="44"/>
      <c r="AD44" s="44"/>
      <c r="AE44" s="44"/>
      <c r="AF44" s="44"/>
      <c r="AG44" s="44"/>
    </row>
    <row r="45" spans="1:33" x14ac:dyDescent="0.35">
      <c r="A45" s="456"/>
      <c r="B45" s="434" t="s">
        <v>346</v>
      </c>
      <c r="C45" s="363" t="s">
        <v>302</v>
      </c>
      <c r="D45" s="160" t="s">
        <v>91</v>
      </c>
      <c r="E45" s="362" t="s">
        <v>335</v>
      </c>
      <c r="F45" s="363">
        <v>293</v>
      </c>
      <c r="G45" s="363">
        <v>258</v>
      </c>
      <c r="H45" s="411">
        <v>1.7437270257186532</v>
      </c>
      <c r="I45" s="411">
        <v>0.47937392347468338</v>
      </c>
      <c r="J45" s="411">
        <v>0.58124234190621771</v>
      </c>
      <c r="K45" s="411">
        <v>0.15979130782489445</v>
      </c>
      <c r="L45" s="496">
        <f t="shared" si="2"/>
        <v>1.7437270257186532</v>
      </c>
      <c r="M45" s="496">
        <f t="shared" si="3"/>
        <v>0.47937392347468338</v>
      </c>
      <c r="N45" s="494">
        <v>0.41077423537054469</v>
      </c>
      <c r="O45" s="494">
        <v>0.11280556843108118</v>
      </c>
      <c r="P45" s="480">
        <v>1.2323227061116342</v>
      </c>
      <c r="Q45" s="480">
        <v>0.33841670529324358</v>
      </c>
      <c r="R45" s="494">
        <v>0.16302580206824938</v>
      </c>
      <c r="S45" s="494">
        <v>4.2340613418723437E-2</v>
      </c>
      <c r="T45" s="160" t="s">
        <v>352</v>
      </c>
      <c r="U45" s="362" t="s">
        <v>357</v>
      </c>
      <c r="V45" s="317" t="s">
        <v>354</v>
      </c>
      <c r="W45" s="44"/>
      <c r="X45" s="44"/>
      <c r="Y45" s="44"/>
      <c r="Z45" s="44"/>
      <c r="AA45" s="44"/>
      <c r="AB45" s="44"/>
      <c r="AC45" s="44"/>
      <c r="AD45" s="44"/>
      <c r="AE45" s="44"/>
      <c r="AF45" s="44"/>
      <c r="AG45" s="44"/>
    </row>
    <row r="46" spans="1:33" x14ac:dyDescent="0.35">
      <c r="A46" s="456"/>
      <c r="B46" s="538" t="s">
        <v>346</v>
      </c>
      <c r="C46" s="415" t="s">
        <v>302</v>
      </c>
      <c r="D46" s="561" t="s">
        <v>88</v>
      </c>
      <c r="E46" s="52" t="s">
        <v>335</v>
      </c>
      <c r="F46" s="52">
        <v>293</v>
      </c>
      <c r="G46" s="52">
        <v>258</v>
      </c>
      <c r="H46" s="411">
        <v>2.7501686002651389</v>
      </c>
      <c r="I46" s="411">
        <v>0.96207902477632934</v>
      </c>
      <c r="J46" s="411">
        <v>0.91672286675504633</v>
      </c>
      <c r="K46" s="411">
        <v>0.32069300825877645</v>
      </c>
      <c r="L46" s="496">
        <f t="shared" si="2"/>
        <v>2.7501686002651389</v>
      </c>
      <c r="M46" s="496">
        <f t="shared" si="3"/>
        <v>0.96207902477632934</v>
      </c>
      <c r="N46" s="528">
        <v>0.64949719365001934</v>
      </c>
      <c r="O46" s="494">
        <v>0.22627163919987608</v>
      </c>
      <c r="P46" s="480">
        <v>1.948491580950058</v>
      </c>
      <c r="Q46" s="480">
        <v>0.6788149175996282</v>
      </c>
      <c r="R46" s="528">
        <v>0.26301095178578932</v>
      </c>
      <c r="S46" s="494">
        <v>8.4181628744240788E-2</v>
      </c>
      <c r="T46" s="210" t="s">
        <v>352</v>
      </c>
      <c r="U46" s="362" t="s">
        <v>357</v>
      </c>
      <c r="V46" s="318" t="s">
        <v>354</v>
      </c>
      <c r="W46" s="44"/>
      <c r="X46" s="44"/>
      <c r="Y46" s="44"/>
      <c r="Z46" s="44"/>
      <c r="AA46" s="44"/>
      <c r="AB46" s="44"/>
      <c r="AC46" s="44"/>
      <c r="AD46" s="44"/>
      <c r="AE46" s="44"/>
      <c r="AF46" s="44"/>
      <c r="AG46" s="44"/>
    </row>
    <row r="47" spans="1:33" x14ac:dyDescent="0.35">
      <c r="A47" s="456"/>
      <c r="B47" s="431" t="s">
        <v>346</v>
      </c>
      <c r="C47" s="444" t="s">
        <v>298</v>
      </c>
      <c r="D47" s="24" t="s">
        <v>91</v>
      </c>
      <c r="E47" s="410" t="s">
        <v>335</v>
      </c>
      <c r="F47" s="410">
        <v>293</v>
      </c>
      <c r="G47" s="410">
        <v>258</v>
      </c>
      <c r="H47" s="491">
        <v>1.7437270257186532</v>
      </c>
      <c r="I47" s="491">
        <v>0.47937392347468338</v>
      </c>
      <c r="J47" s="491">
        <v>0.58124234190621771</v>
      </c>
      <c r="K47" s="491">
        <v>0.15979130782489445</v>
      </c>
      <c r="L47" s="496">
        <f t="shared" si="2"/>
        <v>1.7437270257186532</v>
      </c>
      <c r="M47" s="496">
        <f t="shared" si="3"/>
        <v>0.47937392347468338</v>
      </c>
      <c r="N47" s="494">
        <v>0.41077423537054469</v>
      </c>
      <c r="O47" s="494">
        <v>0.11280556843108118</v>
      </c>
      <c r="P47" s="480">
        <v>1.2323227061116342</v>
      </c>
      <c r="Q47" s="480">
        <v>0.33841670529324358</v>
      </c>
      <c r="R47" s="494">
        <v>0.16302580206824938</v>
      </c>
      <c r="S47" s="494">
        <v>4.2340613418723437E-2</v>
      </c>
      <c r="T47" s="412" t="s">
        <v>352</v>
      </c>
      <c r="U47" s="77" t="s">
        <v>358</v>
      </c>
      <c r="V47" s="447" t="s">
        <v>354</v>
      </c>
      <c r="W47" s="44"/>
      <c r="X47" s="44"/>
      <c r="Y47" s="44"/>
      <c r="Z47" s="44"/>
      <c r="AA47" s="44"/>
      <c r="AB47" s="44"/>
      <c r="AC47" s="44"/>
      <c r="AD47" s="44"/>
      <c r="AE47" s="44"/>
      <c r="AF47" s="44"/>
      <c r="AG47" s="44"/>
    </row>
    <row r="48" spans="1:33" x14ac:dyDescent="0.35">
      <c r="A48" s="456"/>
      <c r="B48" s="428" t="s">
        <v>346</v>
      </c>
      <c r="C48" s="444" t="s">
        <v>298</v>
      </c>
      <c r="D48" s="24" t="s">
        <v>88</v>
      </c>
      <c r="E48" s="410" t="s">
        <v>335</v>
      </c>
      <c r="F48" s="410">
        <v>293</v>
      </c>
      <c r="G48" s="410">
        <v>258</v>
      </c>
      <c r="H48" s="411">
        <v>2.7501686002651389</v>
      </c>
      <c r="I48" s="411">
        <v>0.96207902477632934</v>
      </c>
      <c r="J48" s="411">
        <v>0.91672286675504633</v>
      </c>
      <c r="K48" s="411">
        <v>0.32069300825877645</v>
      </c>
      <c r="L48" s="496">
        <f t="shared" si="2"/>
        <v>2.7501686002651389</v>
      </c>
      <c r="M48" s="496">
        <f t="shared" si="3"/>
        <v>0.96207902477632934</v>
      </c>
      <c r="N48" s="494">
        <v>0.64949719365001934</v>
      </c>
      <c r="O48" s="494">
        <v>0.22627163919987608</v>
      </c>
      <c r="P48" s="480">
        <v>1.948491580950058</v>
      </c>
      <c r="Q48" s="480">
        <v>0.6788149175996282</v>
      </c>
      <c r="R48" s="494">
        <v>0.26301095178578932</v>
      </c>
      <c r="S48" s="494">
        <v>8.4181628744240788E-2</v>
      </c>
      <c r="T48" s="412" t="s">
        <v>352</v>
      </c>
      <c r="U48" s="77" t="s">
        <v>358</v>
      </c>
      <c r="V48" s="447" t="s">
        <v>354</v>
      </c>
      <c r="W48" s="44"/>
      <c r="X48" s="44"/>
      <c r="Y48" s="44"/>
      <c r="Z48" s="44"/>
      <c r="AA48" s="44"/>
      <c r="AB48" s="44"/>
      <c r="AC48" s="44"/>
      <c r="AD48" s="44"/>
      <c r="AE48" s="44"/>
      <c r="AF48" s="44"/>
      <c r="AG48" s="44"/>
    </row>
    <row r="49" spans="1:33" x14ac:dyDescent="0.35">
      <c r="A49" s="456"/>
      <c r="B49" s="430" t="s">
        <v>359</v>
      </c>
      <c r="C49" s="422" t="s">
        <v>292</v>
      </c>
      <c r="D49" s="561" t="s">
        <v>91</v>
      </c>
      <c r="E49" s="410" t="s">
        <v>335</v>
      </c>
      <c r="F49" s="410">
        <v>250</v>
      </c>
      <c r="G49" s="410">
        <v>250</v>
      </c>
      <c r="H49" s="364">
        <v>9.5653297572218303</v>
      </c>
      <c r="I49" s="364">
        <v>3.1268989669902614</v>
      </c>
      <c r="J49" s="411">
        <f>IFERROR((H49*IF(E49="8-hr",ED_8,ED_12)/AT),"--")</f>
        <v>3.1884432524072768</v>
      </c>
      <c r="K49" s="411">
        <f>IFERROR((I49*IF(E49="8-hr",ED_8,ED_12)/AT),"--")</f>
        <v>1.0422996556634205</v>
      </c>
      <c r="L49" s="496">
        <f t="shared" si="2"/>
        <v>9.5653297572218303</v>
      </c>
      <c r="M49" s="496">
        <f t="shared" si="3"/>
        <v>3.1268989669902614</v>
      </c>
      <c r="N49" s="364">
        <v>2.1838615884068107</v>
      </c>
      <c r="O49" s="364">
        <v>0.729903873742069</v>
      </c>
      <c r="P49" s="480">
        <f>IFERROR((((H49*IF(E49="8-hr",ED_8,ED_12)/IF(E49="8-hr",ED_8,ED_12)))*G49*WY_high)/(365*WY_high),"--")</f>
        <v>6.5515957241245415</v>
      </c>
      <c r="Q49" s="480">
        <f>IFERROR(((I49*IF(E49="8-hr",ED_8,ED_12)/IF(E49="8-hr",ED_8,ED_12))*G49*WY_mid)/(365*WY_mid),"--")</f>
        <v>2.1417116212262064</v>
      </c>
      <c r="R49" s="364">
        <v>0.87155767051488742</v>
      </c>
      <c r="S49" s="364">
        <v>0.26902377312121234</v>
      </c>
      <c r="T49" s="416" t="s">
        <v>352</v>
      </c>
      <c r="U49" s="211" t="s">
        <v>360</v>
      </c>
      <c r="V49" s="448" t="s">
        <v>354</v>
      </c>
      <c r="W49" s="44"/>
      <c r="X49" s="44"/>
      <c r="Y49" s="44"/>
      <c r="Z49" s="44"/>
      <c r="AA49" s="44"/>
      <c r="AB49" s="44"/>
      <c r="AC49" s="44"/>
      <c r="AD49" s="44"/>
      <c r="AE49" s="44"/>
      <c r="AF49" s="44"/>
      <c r="AG49" s="44"/>
    </row>
    <row r="50" spans="1:33" ht="15" thickBot="1" x14ac:dyDescent="0.4">
      <c r="A50" s="456"/>
      <c r="B50" s="432" t="s">
        <v>359</v>
      </c>
      <c r="C50" s="446" t="s">
        <v>292</v>
      </c>
      <c r="D50" s="562" t="s">
        <v>88</v>
      </c>
      <c r="E50" s="424" t="s">
        <v>335</v>
      </c>
      <c r="F50" s="424">
        <v>250</v>
      </c>
      <c r="G50" s="424">
        <v>250</v>
      </c>
      <c r="H50" s="495">
        <v>14.139357914116205</v>
      </c>
      <c r="I50" s="495">
        <v>5.9444563989329398</v>
      </c>
      <c r="J50" s="492">
        <f>IFERROR((H50*IF(E50="8-hr",ED_8,ED_12)/AT),"--")</f>
        <v>4.7131193047054021</v>
      </c>
      <c r="K50" s="492">
        <f>IFERROR((I50*IF(E50="8-hr",ED_8,ED_12)/AT),"--")</f>
        <v>1.98148546631098</v>
      </c>
      <c r="L50" s="481">
        <f t="shared" si="2"/>
        <v>14.139357914116205</v>
      </c>
      <c r="M50" s="481">
        <f t="shared" si="3"/>
        <v>5.9444563989329398</v>
      </c>
      <c r="N50" s="495">
        <v>3.2281639073324664</v>
      </c>
      <c r="O50" s="495">
        <v>1.3571818262403972</v>
      </c>
      <c r="P50" s="481">
        <f>IFERROR((((H50*IF(E50="8-hr",ED_8,ED_12)/IF(E50="8-hr",ED_8,ED_12)))*G50*WY_high)/(365*WY_high),"--")</f>
        <v>9.6844917219974</v>
      </c>
      <c r="Q50" s="481">
        <f>IFERROR(((I50*IF(E50="8-hr",ED_8,ED_12)/IF(E50="8-hr",ED_8,ED_12))*G50*WY_mid)/(365*WY_mid),"--")</f>
        <v>4.071545478721192</v>
      </c>
      <c r="R50" s="495">
        <v>1.320504561957222</v>
      </c>
      <c r="S50" s="495">
        <v>0.51352644326389651</v>
      </c>
      <c r="T50" s="426" t="s">
        <v>352</v>
      </c>
      <c r="U50" s="427" t="s">
        <v>360</v>
      </c>
      <c r="V50" s="449" t="s">
        <v>354</v>
      </c>
      <c r="W50" s="44"/>
      <c r="X50" s="44"/>
      <c r="Y50" s="44"/>
      <c r="Z50" s="44"/>
      <c r="AA50" s="44"/>
      <c r="AB50" s="44"/>
      <c r="AC50" s="44"/>
      <c r="AD50" s="44"/>
      <c r="AE50" s="44"/>
      <c r="AF50" s="44"/>
      <c r="AG50" s="44"/>
    </row>
    <row r="51" spans="1:33" x14ac:dyDescent="0.35">
      <c r="B51" s="44"/>
      <c r="C51" s="466"/>
      <c r="D51" s="44"/>
      <c r="E51" s="44"/>
      <c r="F51" s="44"/>
      <c r="G51" s="44"/>
      <c r="H51" s="44"/>
      <c r="I51" s="44"/>
      <c r="J51" s="44"/>
      <c r="K51" s="44"/>
      <c r="L51" s="44"/>
      <c r="M51" s="44"/>
      <c r="N51" s="44"/>
      <c r="O51" s="44"/>
      <c r="P51" s="44"/>
      <c r="Q51" s="44"/>
      <c r="R51" s="44"/>
      <c r="S51" s="44"/>
      <c r="T51" s="467"/>
      <c r="U51" s="44"/>
      <c r="V51" s="44"/>
      <c r="W51" s="44"/>
      <c r="X51" s="44"/>
      <c r="Y51" s="44"/>
      <c r="Z51" s="44"/>
      <c r="AA51" s="44"/>
      <c r="AB51" s="44"/>
      <c r="AC51" s="44"/>
      <c r="AD51" s="44"/>
      <c r="AE51" s="44"/>
      <c r="AF51" s="44"/>
      <c r="AG51" s="44"/>
    </row>
    <row r="52" spans="1:33" x14ac:dyDescent="0.35">
      <c r="B52" s="44"/>
      <c r="C52" s="466"/>
      <c r="D52" s="44"/>
      <c r="E52" s="44"/>
      <c r="F52" s="44"/>
      <c r="G52" s="44"/>
      <c r="H52" s="44"/>
      <c r="I52" s="44"/>
      <c r="J52" s="44"/>
      <c r="K52" s="44"/>
      <c r="L52" s="44"/>
      <c r="M52" s="44"/>
      <c r="N52" s="44"/>
      <c r="O52" s="44"/>
      <c r="P52" s="44"/>
      <c r="Q52" s="44"/>
      <c r="R52" s="44"/>
      <c r="S52" s="44"/>
      <c r="T52" s="467"/>
      <c r="U52" s="44"/>
      <c r="V52" s="44"/>
      <c r="W52" s="44"/>
      <c r="X52" s="44"/>
      <c r="Y52" s="44"/>
      <c r="Z52" s="44"/>
      <c r="AA52" s="44"/>
      <c r="AB52" s="44"/>
      <c r="AC52" s="44"/>
      <c r="AD52" s="44"/>
      <c r="AE52" s="44"/>
      <c r="AF52" s="44"/>
      <c r="AG52" s="44"/>
    </row>
    <row r="53" spans="1:33" x14ac:dyDescent="0.35">
      <c r="B53" s="44"/>
      <c r="C53" s="466"/>
      <c r="D53" s="44"/>
      <c r="E53" s="44"/>
      <c r="F53" s="44"/>
      <c r="G53" s="44"/>
      <c r="H53" s="44"/>
      <c r="I53" s="44"/>
      <c r="J53" s="44"/>
      <c r="K53" s="44"/>
      <c r="L53" s="44"/>
      <c r="M53" s="44"/>
      <c r="N53" s="44"/>
      <c r="O53" s="44"/>
      <c r="P53" s="44"/>
      <c r="Q53" s="44"/>
      <c r="R53" s="44"/>
      <c r="S53" s="44"/>
      <c r="T53" s="467"/>
      <c r="U53" s="44"/>
      <c r="V53" s="44"/>
      <c r="W53" s="44"/>
      <c r="X53" s="44"/>
      <c r="Y53" s="44"/>
      <c r="Z53" s="44"/>
      <c r="AA53" s="44"/>
      <c r="AB53" s="44"/>
      <c r="AC53" s="44"/>
      <c r="AD53" s="44"/>
      <c r="AE53" s="44"/>
      <c r="AF53" s="44"/>
      <c r="AG53" s="44"/>
    </row>
    <row r="54" spans="1:33" x14ac:dyDescent="0.35">
      <c r="B54" s="44"/>
      <c r="C54" s="466"/>
      <c r="D54" s="44"/>
      <c r="E54" s="44"/>
      <c r="F54" s="44"/>
      <c r="G54" s="44"/>
      <c r="H54" s="44"/>
      <c r="I54" s="44"/>
      <c r="J54" s="44"/>
      <c r="K54" s="44"/>
      <c r="L54" s="44"/>
      <c r="M54" s="44"/>
      <c r="N54" s="44"/>
      <c r="O54" s="44"/>
      <c r="P54" s="44"/>
      <c r="Q54" s="44"/>
      <c r="R54" s="44"/>
      <c r="S54" s="44"/>
      <c r="T54" s="467"/>
      <c r="U54" s="44"/>
      <c r="V54" s="44"/>
      <c r="W54" s="44"/>
      <c r="X54" s="44"/>
      <c r="Y54" s="44"/>
      <c r="Z54" s="44"/>
      <c r="AA54" s="44"/>
      <c r="AB54" s="44"/>
      <c r="AC54" s="44"/>
      <c r="AD54" s="44"/>
      <c r="AE54" s="44"/>
      <c r="AF54" s="44"/>
      <c r="AG54" s="44"/>
    </row>
    <row r="55" spans="1:33" x14ac:dyDescent="0.35">
      <c r="B55" s="44"/>
      <c r="C55" s="466"/>
      <c r="D55" s="44"/>
      <c r="E55" s="44"/>
      <c r="F55" s="44"/>
      <c r="G55" s="44"/>
      <c r="H55" s="44"/>
      <c r="I55" s="44"/>
      <c r="J55" s="44"/>
      <c r="K55" s="44"/>
      <c r="L55" s="44"/>
      <c r="M55" s="44"/>
      <c r="N55" s="44"/>
      <c r="O55" s="44"/>
      <c r="P55" s="44"/>
      <c r="Q55" s="44"/>
      <c r="R55" s="44"/>
      <c r="S55" s="44"/>
      <c r="T55" s="467"/>
      <c r="U55" s="44"/>
      <c r="V55" s="44"/>
      <c r="W55" s="44"/>
      <c r="X55" s="44"/>
      <c r="Y55" s="44"/>
      <c r="Z55" s="44"/>
      <c r="AA55" s="44"/>
      <c r="AB55" s="44"/>
      <c r="AC55" s="44"/>
      <c r="AD55" s="44"/>
      <c r="AE55" s="44"/>
      <c r="AF55" s="44"/>
      <c r="AG55" s="44"/>
    </row>
    <row r="56" spans="1:33" x14ac:dyDescent="0.35">
      <c r="B56" s="44"/>
      <c r="C56" s="466"/>
      <c r="D56" s="44"/>
      <c r="E56" s="44"/>
      <c r="F56" s="44"/>
      <c r="G56" s="44"/>
      <c r="H56" s="44"/>
      <c r="I56" s="44"/>
      <c r="J56" s="44"/>
      <c r="K56" s="44"/>
      <c r="L56" s="44"/>
      <c r="M56" s="44"/>
      <c r="N56" s="44"/>
      <c r="O56" s="44"/>
      <c r="P56" s="44"/>
      <c r="Q56" s="44"/>
      <c r="R56" s="44"/>
      <c r="S56" s="44"/>
      <c r="T56" s="467"/>
      <c r="U56" s="44"/>
      <c r="V56" s="44"/>
      <c r="W56" s="44"/>
      <c r="X56" s="44"/>
      <c r="Y56" s="44"/>
      <c r="Z56" s="44"/>
      <c r="AA56" s="44"/>
      <c r="AB56" s="44"/>
      <c r="AC56" s="44"/>
      <c r="AD56" s="44"/>
      <c r="AE56" s="44"/>
      <c r="AF56" s="44"/>
      <c r="AG56" s="44"/>
    </row>
    <row r="57" spans="1:33" x14ac:dyDescent="0.35">
      <c r="B57" s="44"/>
      <c r="C57" s="466"/>
      <c r="D57" s="44"/>
      <c r="E57" s="44"/>
      <c r="F57" s="44"/>
      <c r="G57" s="44"/>
      <c r="H57" s="44"/>
      <c r="I57" s="44"/>
      <c r="J57" s="44"/>
      <c r="K57" s="44"/>
      <c r="L57" s="44"/>
      <c r="M57" s="44"/>
      <c r="N57" s="44"/>
      <c r="O57" s="44"/>
      <c r="P57" s="44"/>
      <c r="Q57" s="44"/>
      <c r="R57" s="44"/>
      <c r="S57" s="44"/>
      <c r="T57" s="467"/>
      <c r="U57" s="44"/>
      <c r="V57" s="44"/>
      <c r="W57" s="44"/>
      <c r="X57" s="44"/>
      <c r="Y57" s="44"/>
      <c r="Z57" s="44"/>
      <c r="AA57" s="44"/>
      <c r="AB57" s="44"/>
      <c r="AC57" s="44"/>
      <c r="AD57" s="44"/>
      <c r="AE57" s="44"/>
      <c r="AF57" s="44"/>
      <c r="AG57" s="44"/>
    </row>
    <row r="58" spans="1:33" x14ac:dyDescent="0.35">
      <c r="B58" s="44"/>
      <c r="C58" s="466"/>
      <c r="D58" s="44"/>
      <c r="E58" s="44"/>
      <c r="F58" s="44"/>
      <c r="G58" s="44"/>
      <c r="H58" s="44"/>
      <c r="I58" s="44"/>
      <c r="J58" s="44"/>
      <c r="K58" s="44"/>
      <c r="L58" s="44"/>
      <c r="M58" s="44"/>
      <c r="N58" s="44"/>
      <c r="O58" s="44"/>
      <c r="P58" s="44"/>
      <c r="Q58" s="44"/>
      <c r="R58" s="44"/>
      <c r="S58" s="44"/>
      <c r="T58" s="467"/>
      <c r="U58" s="44"/>
      <c r="V58" s="44"/>
      <c r="W58" s="44"/>
      <c r="X58" s="44"/>
      <c r="Y58" s="44"/>
      <c r="Z58" s="44"/>
      <c r="AA58" s="44"/>
      <c r="AB58" s="44"/>
      <c r="AC58" s="44"/>
      <c r="AD58" s="44"/>
      <c r="AE58" s="44"/>
      <c r="AF58" s="44"/>
      <c r="AG58" s="44"/>
    </row>
    <row r="59" spans="1:33" x14ac:dyDescent="0.35">
      <c r="B59" s="44"/>
      <c r="C59" s="466"/>
      <c r="D59" s="44"/>
      <c r="E59" s="44"/>
      <c r="F59" s="44"/>
      <c r="G59" s="44"/>
      <c r="H59" s="44"/>
      <c r="I59" s="44"/>
      <c r="J59" s="44"/>
      <c r="K59" s="44"/>
      <c r="L59" s="44"/>
      <c r="M59" s="44"/>
      <c r="N59" s="44"/>
      <c r="O59" s="44"/>
      <c r="P59" s="44"/>
      <c r="Q59" s="44"/>
      <c r="R59" s="44"/>
      <c r="S59" s="44"/>
      <c r="T59" s="467"/>
      <c r="U59" s="44"/>
      <c r="V59" s="44"/>
      <c r="W59" s="44"/>
      <c r="X59" s="44"/>
      <c r="Y59" s="44"/>
      <c r="Z59" s="44"/>
      <c r="AA59" s="44"/>
      <c r="AB59" s="44"/>
      <c r="AC59" s="44"/>
      <c r="AD59" s="44"/>
      <c r="AE59" s="44"/>
      <c r="AF59" s="44"/>
      <c r="AG59" s="44"/>
    </row>
    <row r="60" spans="1:33" x14ac:dyDescent="0.35">
      <c r="B60" s="44"/>
      <c r="C60" s="466"/>
      <c r="D60" s="44"/>
      <c r="E60" s="44"/>
      <c r="F60" s="44"/>
      <c r="G60" s="44"/>
      <c r="H60" s="44"/>
      <c r="I60" s="44"/>
      <c r="J60" s="44"/>
      <c r="K60" s="44"/>
      <c r="L60" s="44"/>
      <c r="M60" s="44"/>
      <c r="N60" s="44"/>
      <c r="O60" s="44"/>
      <c r="P60" s="44"/>
      <c r="Q60" s="44"/>
      <c r="R60" s="44"/>
      <c r="S60" s="44"/>
      <c r="T60" s="467"/>
      <c r="U60" s="44"/>
      <c r="V60" s="44"/>
      <c r="W60" s="44"/>
      <c r="X60" s="44"/>
      <c r="Y60" s="44"/>
      <c r="Z60" s="44"/>
      <c r="AA60" s="44"/>
      <c r="AB60" s="44"/>
      <c r="AC60" s="44"/>
      <c r="AD60" s="44"/>
      <c r="AE60" s="44"/>
      <c r="AF60" s="44"/>
      <c r="AG60" s="44"/>
    </row>
    <row r="61" spans="1:33" x14ac:dyDescent="0.35">
      <c r="B61" s="44"/>
      <c r="C61" s="466"/>
      <c r="D61" s="44"/>
      <c r="E61" s="44"/>
      <c r="F61" s="44"/>
      <c r="G61" s="44"/>
      <c r="H61" s="44"/>
      <c r="I61" s="44"/>
      <c r="J61" s="44"/>
      <c r="K61" s="44"/>
      <c r="L61" s="44"/>
      <c r="M61" s="44"/>
      <c r="N61" s="44"/>
      <c r="O61" s="44"/>
      <c r="P61" s="44"/>
      <c r="Q61" s="44"/>
      <c r="R61" s="44"/>
      <c r="S61" s="44"/>
      <c r="T61" s="467"/>
      <c r="U61" s="44"/>
      <c r="V61" s="44"/>
      <c r="W61" s="44"/>
      <c r="X61" s="44"/>
      <c r="Y61" s="44"/>
      <c r="Z61" s="44"/>
      <c r="AA61" s="44"/>
      <c r="AB61" s="44"/>
      <c r="AC61" s="44"/>
      <c r="AD61" s="44"/>
      <c r="AE61" s="44"/>
      <c r="AF61" s="44"/>
      <c r="AG61" s="44"/>
    </row>
    <row r="62" spans="1:33" x14ac:dyDescent="0.35">
      <c r="B62" s="44"/>
      <c r="C62" s="466"/>
      <c r="D62" s="44"/>
      <c r="E62" s="44"/>
      <c r="F62" s="44"/>
      <c r="G62" s="44"/>
      <c r="H62" s="44"/>
      <c r="I62" s="44"/>
      <c r="J62" s="44"/>
      <c r="K62" s="44"/>
      <c r="L62" s="44"/>
      <c r="M62" s="44"/>
      <c r="N62" s="44"/>
      <c r="O62" s="44"/>
      <c r="P62" s="44"/>
      <c r="Q62" s="44"/>
      <c r="R62" s="44"/>
      <c r="S62" s="44"/>
      <c r="T62" s="467"/>
      <c r="U62" s="44"/>
      <c r="V62" s="44"/>
      <c r="W62" s="44"/>
      <c r="X62" s="44"/>
      <c r="Y62" s="44"/>
      <c r="Z62" s="44"/>
      <c r="AA62" s="44"/>
      <c r="AB62" s="44"/>
      <c r="AC62" s="44"/>
      <c r="AD62" s="44"/>
      <c r="AE62" s="44"/>
      <c r="AF62" s="44"/>
      <c r="AG62" s="44"/>
    </row>
    <row r="63" spans="1:33" x14ac:dyDescent="0.35">
      <c r="B63" s="44"/>
      <c r="C63" s="466"/>
      <c r="D63" s="44"/>
      <c r="E63" s="44"/>
      <c r="F63" s="44"/>
      <c r="G63" s="44"/>
      <c r="H63" s="44"/>
      <c r="I63" s="44"/>
      <c r="J63" s="44"/>
      <c r="K63" s="44"/>
      <c r="L63" s="44"/>
      <c r="M63" s="44"/>
      <c r="N63" s="44"/>
      <c r="O63" s="44"/>
      <c r="P63" s="44"/>
      <c r="Q63" s="44"/>
      <c r="R63" s="44"/>
      <c r="S63" s="44"/>
      <c r="T63" s="467"/>
      <c r="U63" s="44"/>
      <c r="V63" s="44"/>
      <c r="W63" s="44"/>
      <c r="X63" s="44"/>
      <c r="Y63" s="44"/>
      <c r="Z63" s="44"/>
      <c r="AA63" s="44"/>
      <c r="AB63" s="44"/>
      <c r="AC63" s="44"/>
      <c r="AD63" s="44"/>
      <c r="AE63" s="44"/>
      <c r="AF63" s="44"/>
      <c r="AG63" s="44"/>
    </row>
    <row r="64" spans="1:33" x14ac:dyDescent="0.35">
      <c r="B64" s="44"/>
      <c r="C64" s="466"/>
      <c r="D64" s="44"/>
      <c r="E64" s="44"/>
      <c r="F64" s="44"/>
      <c r="G64" s="44"/>
      <c r="H64" s="44"/>
      <c r="I64" s="44"/>
      <c r="J64" s="44"/>
      <c r="K64" s="44"/>
      <c r="L64" s="44"/>
      <c r="M64" s="44"/>
      <c r="N64" s="44"/>
      <c r="O64" s="44"/>
      <c r="P64" s="44"/>
      <c r="Q64" s="44"/>
      <c r="R64" s="44"/>
      <c r="S64" s="44"/>
      <c r="T64" s="467"/>
      <c r="U64" s="44"/>
      <c r="V64" s="44"/>
      <c r="W64" s="44"/>
      <c r="X64" s="44"/>
      <c r="Y64" s="44"/>
      <c r="Z64" s="44"/>
      <c r="AA64" s="44"/>
      <c r="AB64" s="44"/>
      <c r="AC64" s="44"/>
      <c r="AD64" s="44"/>
      <c r="AE64" s="44"/>
      <c r="AF64" s="44"/>
      <c r="AG64" s="44"/>
    </row>
    <row r="65" spans="2:33" x14ac:dyDescent="0.35">
      <c r="B65" s="44"/>
      <c r="C65" s="466"/>
      <c r="D65" s="44"/>
      <c r="E65" s="44"/>
      <c r="F65" s="44"/>
      <c r="G65" s="44"/>
      <c r="H65" s="44"/>
      <c r="I65" s="44"/>
      <c r="J65" s="44"/>
      <c r="K65" s="44"/>
      <c r="L65" s="44"/>
      <c r="M65" s="44"/>
      <c r="N65" s="44"/>
      <c r="O65" s="44"/>
      <c r="P65" s="44"/>
      <c r="Q65" s="44"/>
      <c r="R65" s="44"/>
      <c r="S65" s="44"/>
      <c r="T65" s="467"/>
      <c r="U65" s="44"/>
      <c r="V65" s="44"/>
      <c r="W65" s="44"/>
      <c r="X65" s="44"/>
      <c r="Y65" s="44"/>
      <c r="Z65" s="44"/>
      <c r="AA65" s="44"/>
      <c r="AB65" s="44"/>
      <c r="AC65" s="44"/>
      <c r="AD65" s="44"/>
      <c r="AE65" s="44"/>
      <c r="AF65" s="44"/>
      <c r="AG65" s="44"/>
    </row>
    <row r="66" spans="2:33" x14ac:dyDescent="0.35">
      <c r="B66" s="44"/>
      <c r="C66" s="466"/>
      <c r="D66" s="44"/>
      <c r="E66" s="44"/>
      <c r="F66" s="44"/>
      <c r="G66" s="44"/>
      <c r="H66" s="44"/>
      <c r="I66" s="44"/>
      <c r="J66" s="44"/>
      <c r="K66" s="44"/>
      <c r="L66" s="44"/>
      <c r="M66" s="44"/>
      <c r="N66" s="44"/>
      <c r="O66" s="44"/>
      <c r="P66" s="44"/>
      <c r="Q66" s="44"/>
      <c r="R66" s="44"/>
      <c r="S66" s="44"/>
      <c r="T66" s="467"/>
      <c r="U66" s="44"/>
      <c r="V66" s="44"/>
      <c r="W66" s="44"/>
      <c r="X66" s="44"/>
      <c r="Y66" s="44"/>
      <c r="Z66" s="44"/>
      <c r="AA66" s="44"/>
      <c r="AB66" s="44"/>
      <c r="AC66" s="44"/>
      <c r="AD66" s="44"/>
      <c r="AE66" s="44"/>
      <c r="AF66" s="44"/>
      <c r="AG66" s="44"/>
    </row>
    <row r="67" spans="2:33" x14ac:dyDescent="0.35">
      <c r="B67" s="44"/>
      <c r="C67" s="466"/>
      <c r="D67" s="44"/>
      <c r="E67" s="44"/>
      <c r="F67" s="44"/>
      <c r="G67" s="44"/>
      <c r="H67" s="44"/>
      <c r="I67" s="44"/>
      <c r="J67" s="44"/>
      <c r="K67" s="44"/>
      <c r="L67" s="44"/>
      <c r="M67" s="44"/>
      <c r="N67" s="44"/>
      <c r="O67" s="44"/>
      <c r="P67" s="44"/>
      <c r="Q67" s="44"/>
      <c r="R67" s="44"/>
      <c r="S67" s="44"/>
      <c r="T67" s="467"/>
      <c r="U67" s="44"/>
      <c r="V67" s="44"/>
      <c r="W67" s="44"/>
      <c r="X67" s="44"/>
      <c r="Y67" s="44"/>
      <c r="Z67" s="44"/>
      <c r="AA67" s="44"/>
      <c r="AB67" s="44"/>
      <c r="AC67" s="44"/>
      <c r="AD67" s="44"/>
      <c r="AE67" s="44"/>
      <c r="AF67" s="44"/>
      <c r="AG67" s="44"/>
    </row>
    <row r="68" spans="2:33" x14ac:dyDescent="0.35">
      <c r="B68" s="44"/>
      <c r="C68" s="466"/>
      <c r="D68" s="44"/>
      <c r="E68" s="44"/>
      <c r="F68" s="44"/>
      <c r="G68" s="44"/>
      <c r="H68" s="44"/>
      <c r="I68" s="44"/>
      <c r="J68" s="44"/>
      <c r="K68" s="44"/>
      <c r="L68" s="44"/>
      <c r="M68" s="44"/>
      <c r="N68" s="44"/>
      <c r="O68" s="44"/>
      <c r="P68" s="44"/>
      <c r="Q68" s="44"/>
      <c r="R68" s="44"/>
      <c r="S68" s="44"/>
      <c r="T68" s="467"/>
      <c r="U68" s="44"/>
      <c r="V68" s="44"/>
      <c r="W68" s="44"/>
      <c r="X68" s="44"/>
      <c r="Y68" s="44"/>
      <c r="Z68" s="44"/>
      <c r="AA68" s="44"/>
      <c r="AB68" s="44"/>
      <c r="AC68" s="44"/>
      <c r="AD68" s="44"/>
      <c r="AE68" s="44"/>
      <c r="AF68" s="44"/>
      <c r="AG68" s="44"/>
    </row>
    <row r="69" spans="2:33" x14ac:dyDescent="0.35">
      <c r="B69" s="44"/>
      <c r="C69" s="466"/>
      <c r="D69" s="44"/>
      <c r="E69" s="44"/>
      <c r="F69" s="44"/>
      <c r="G69" s="44"/>
      <c r="H69" s="44"/>
      <c r="I69" s="44"/>
      <c r="J69" s="44"/>
      <c r="K69" s="44"/>
      <c r="L69" s="44"/>
      <c r="M69" s="44"/>
      <c r="N69" s="44"/>
      <c r="O69" s="44"/>
      <c r="P69" s="44"/>
      <c r="Q69" s="44"/>
      <c r="R69" s="44"/>
      <c r="S69" s="44"/>
      <c r="T69" s="467"/>
      <c r="U69" s="44"/>
      <c r="V69" s="44"/>
      <c r="W69" s="44"/>
      <c r="X69" s="44"/>
      <c r="Y69" s="44"/>
      <c r="Z69" s="44"/>
      <c r="AA69" s="44"/>
      <c r="AB69" s="44"/>
      <c r="AC69" s="44"/>
      <c r="AD69" s="44"/>
      <c r="AE69" s="44"/>
      <c r="AF69" s="44"/>
      <c r="AG69" s="44"/>
    </row>
    <row r="70" spans="2:33" x14ac:dyDescent="0.35">
      <c r="B70" s="44"/>
      <c r="C70" s="466"/>
      <c r="D70" s="44"/>
      <c r="E70" s="44"/>
      <c r="F70" s="44"/>
      <c r="G70" s="44"/>
      <c r="H70" s="44"/>
      <c r="I70" s="44"/>
      <c r="J70" s="44"/>
      <c r="K70" s="44"/>
      <c r="L70" s="44"/>
      <c r="M70" s="44"/>
      <c r="N70" s="44"/>
      <c r="O70" s="44"/>
      <c r="P70" s="44"/>
      <c r="Q70" s="44"/>
      <c r="R70" s="44"/>
      <c r="S70" s="44"/>
      <c r="T70" s="467"/>
      <c r="U70" s="44"/>
      <c r="V70" s="44"/>
      <c r="W70" s="44"/>
      <c r="X70" s="44"/>
      <c r="Y70" s="44"/>
      <c r="Z70" s="44"/>
      <c r="AA70" s="44"/>
      <c r="AB70" s="44"/>
      <c r="AC70" s="44"/>
      <c r="AD70" s="44"/>
      <c r="AE70" s="44"/>
      <c r="AF70" s="44"/>
      <c r="AG70" s="44"/>
    </row>
    <row r="71" spans="2:33" x14ac:dyDescent="0.35">
      <c r="B71" s="44"/>
      <c r="C71" s="466"/>
      <c r="D71" s="44"/>
      <c r="E71" s="44"/>
      <c r="F71" s="44"/>
      <c r="G71" s="44"/>
      <c r="H71" s="44"/>
      <c r="I71" s="44"/>
      <c r="J71" s="44"/>
      <c r="K71" s="44"/>
      <c r="L71" s="44"/>
      <c r="M71" s="44"/>
      <c r="N71" s="44"/>
      <c r="O71" s="44"/>
      <c r="P71" s="44"/>
      <c r="Q71" s="44"/>
      <c r="R71" s="44"/>
      <c r="S71" s="44"/>
      <c r="T71" s="467"/>
      <c r="U71" s="44"/>
      <c r="V71" s="44"/>
      <c r="W71" s="44"/>
      <c r="X71" s="44"/>
      <c r="Y71" s="44"/>
      <c r="Z71" s="44"/>
      <c r="AA71" s="44"/>
      <c r="AB71" s="44"/>
      <c r="AC71" s="44"/>
      <c r="AD71" s="44"/>
      <c r="AE71" s="44"/>
      <c r="AF71" s="44"/>
      <c r="AG71" s="44"/>
    </row>
    <row r="72" spans="2:33" x14ac:dyDescent="0.35">
      <c r="B72" s="44"/>
      <c r="C72" s="466"/>
      <c r="D72" s="44"/>
      <c r="E72" s="44"/>
      <c r="F72" s="44"/>
      <c r="G72" s="44"/>
      <c r="H72" s="44"/>
      <c r="I72" s="44"/>
      <c r="J72" s="44"/>
      <c r="K72" s="44"/>
      <c r="L72" s="44"/>
      <c r="M72" s="44"/>
      <c r="N72" s="44"/>
      <c r="O72" s="44"/>
      <c r="P72" s="44"/>
      <c r="Q72" s="44"/>
      <c r="R72" s="44"/>
      <c r="S72" s="44"/>
      <c r="T72" s="467"/>
      <c r="U72" s="44"/>
      <c r="V72" s="44"/>
      <c r="W72" s="44"/>
      <c r="X72" s="44"/>
      <c r="Y72" s="44"/>
      <c r="Z72" s="44"/>
      <c r="AA72" s="44"/>
      <c r="AB72" s="44"/>
      <c r="AC72" s="44"/>
      <c r="AD72" s="44"/>
      <c r="AE72" s="44"/>
      <c r="AF72" s="44"/>
      <c r="AG72" s="44"/>
    </row>
    <row r="73" spans="2:33" x14ac:dyDescent="0.35">
      <c r="B73" s="44"/>
      <c r="C73" s="466"/>
      <c r="D73" s="44"/>
      <c r="E73" s="44"/>
      <c r="F73" s="44"/>
      <c r="G73" s="44"/>
      <c r="H73" s="44"/>
      <c r="I73" s="44"/>
      <c r="J73" s="44"/>
      <c r="K73" s="44"/>
      <c r="L73" s="44"/>
      <c r="M73" s="44"/>
      <c r="N73" s="44"/>
      <c r="O73" s="44"/>
      <c r="P73" s="44"/>
      <c r="Q73" s="44"/>
      <c r="R73" s="44"/>
      <c r="S73" s="44"/>
      <c r="T73" s="467"/>
      <c r="U73" s="44"/>
      <c r="V73" s="44"/>
      <c r="W73" s="44"/>
      <c r="X73" s="44"/>
      <c r="Y73" s="44"/>
      <c r="Z73" s="44"/>
      <c r="AA73" s="44"/>
      <c r="AB73" s="44"/>
      <c r="AC73" s="44"/>
      <c r="AD73" s="44"/>
      <c r="AE73" s="44"/>
      <c r="AF73" s="44"/>
      <c r="AG73" s="44"/>
    </row>
    <row r="74" spans="2:33" x14ac:dyDescent="0.35">
      <c r="B74" s="44"/>
      <c r="C74" s="466"/>
      <c r="D74" s="44"/>
      <c r="E74" s="44"/>
      <c r="F74" s="44"/>
      <c r="G74" s="44"/>
      <c r="H74" s="44"/>
      <c r="I74" s="44"/>
      <c r="J74" s="44"/>
      <c r="K74" s="44"/>
      <c r="L74" s="44"/>
      <c r="M74" s="44"/>
      <c r="N74" s="44"/>
      <c r="O74" s="44"/>
      <c r="P74" s="44"/>
      <c r="Q74" s="44"/>
      <c r="R74" s="44"/>
      <c r="S74" s="44"/>
      <c r="T74" s="467"/>
      <c r="U74" s="44"/>
      <c r="V74" s="44"/>
      <c r="W74" s="44"/>
      <c r="X74" s="44"/>
      <c r="Y74" s="44"/>
      <c r="Z74" s="44"/>
      <c r="AA74" s="44"/>
      <c r="AB74" s="44"/>
      <c r="AC74" s="44"/>
      <c r="AD74" s="44"/>
      <c r="AE74" s="44"/>
      <c r="AF74" s="44"/>
      <c r="AG74" s="44"/>
    </row>
    <row r="75" spans="2:33" x14ac:dyDescent="0.35">
      <c r="B75" s="44"/>
      <c r="C75" s="466"/>
      <c r="D75" s="44"/>
      <c r="E75" s="44"/>
      <c r="F75" s="44"/>
      <c r="G75" s="44"/>
      <c r="H75" s="44"/>
      <c r="I75" s="44"/>
      <c r="J75" s="44"/>
      <c r="K75" s="44"/>
      <c r="L75" s="44"/>
      <c r="M75" s="44"/>
      <c r="N75" s="44"/>
      <c r="O75" s="44"/>
      <c r="P75" s="44"/>
      <c r="Q75" s="44"/>
      <c r="R75" s="44"/>
      <c r="S75" s="44"/>
      <c r="T75" s="467"/>
      <c r="U75" s="44"/>
      <c r="V75" s="44"/>
      <c r="W75" s="44"/>
      <c r="X75" s="44"/>
      <c r="Y75" s="44"/>
      <c r="Z75" s="44"/>
      <c r="AA75" s="44"/>
      <c r="AB75" s="44"/>
      <c r="AC75" s="44"/>
      <c r="AD75" s="44"/>
      <c r="AE75" s="44"/>
      <c r="AF75" s="44"/>
      <c r="AG75" s="44"/>
    </row>
    <row r="76" spans="2:33" x14ac:dyDescent="0.35">
      <c r="B76" s="44"/>
      <c r="C76" s="466"/>
      <c r="D76" s="44"/>
      <c r="E76" s="44"/>
      <c r="F76" s="44"/>
      <c r="G76" s="44"/>
      <c r="H76" s="44"/>
      <c r="I76" s="44"/>
      <c r="J76" s="44"/>
      <c r="K76" s="44"/>
      <c r="L76" s="44"/>
      <c r="M76" s="44"/>
      <c r="N76" s="44"/>
      <c r="O76" s="44"/>
      <c r="P76" s="44"/>
      <c r="Q76" s="44"/>
      <c r="R76" s="44"/>
      <c r="S76" s="44"/>
      <c r="T76" s="467"/>
      <c r="U76" s="44"/>
      <c r="V76" s="44"/>
      <c r="W76" s="44"/>
      <c r="X76" s="44"/>
      <c r="Y76" s="44"/>
      <c r="Z76" s="44"/>
      <c r="AA76" s="44"/>
      <c r="AB76" s="44"/>
      <c r="AC76" s="44"/>
      <c r="AD76" s="44"/>
      <c r="AE76" s="44"/>
      <c r="AF76" s="44"/>
      <c r="AG76" s="44"/>
    </row>
    <row r="77" spans="2:33" x14ac:dyDescent="0.35">
      <c r="B77" s="44"/>
      <c r="C77" s="466"/>
      <c r="D77" s="44"/>
      <c r="E77" s="44"/>
      <c r="F77" s="44"/>
      <c r="G77" s="44"/>
      <c r="H77" s="44"/>
      <c r="I77" s="44"/>
      <c r="J77" s="44"/>
      <c r="K77" s="44"/>
      <c r="L77" s="44"/>
      <c r="M77" s="44"/>
      <c r="N77" s="44"/>
      <c r="O77" s="44"/>
      <c r="P77" s="44"/>
      <c r="Q77" s="44"/>
      <c r="R77" s="44"/>
      <c r="S77" s="44"/>
      <c r="T77" s="467"/>
      <c r="U77" s="44"/>
      <c r="V77" s="44"/>
      <c r="W77" s="44"/>
      <c r="X77" s="44"/>
      <c r="Y77" s="44"/>
      <c r="Z77" s="44"/>
      <c r="AA77" s="44"/>
      <c r="AB77" s="44"/>
      <c r="AC77" s="44"/>
      <c r="AD77" s="44"/>
      <c r="AE77" s="44"/>
      <c r="AF77" s="44"/>
      <c r="AG77" s="44"/>
    </row>
    <row r="78" spans="2:33" x14ac:dyDescent="0.35">
      <c r="B78" s="44"/>
      <c r="C78" s="466"/>
      <c r="D78" s="44"/>
      <c r="E78" s="44"/>
      <c r="F78" s="44"/>
      <c r="G78" s="44"/>
      <c r="H78" s="44"/>
      <c r="I78" s="44"/>
      <c r="J78" s="44"/>
      <c r="K78" s="44"/>
      <c r="L78" s="44"/>
      <c r="M78" s="44"/>
      <c r="N78" s="44"/>
      <c r="O78" s="44"/>
      <c r="P78" s="44"/>
      <c r="Q78" s="44"/>
      <c r="R78" s="44"/>
      <c r="S78" s="44"/>
      <c r="T78" s="467"/>
      <c r="U78" s="44"/>
      <c r="V78" s="44"/>
      <c r="W78" s="44"/>
      <c r="X78" s="44"/>
      <c r="Y78" s="44"/>
      <c r="Z78" s="44"/>
      <c r="AA78" s="44"/>
      <c r="AB78" s="44"/>
      <c r="AC78" s="44"/>
      <c r="AD78" s="44"/>
      <c r="AE78" s="44"/>
      <c r="AF78" s="44"/>
      <c r="AG78" s="44"/>
    </row>
    <row r="79" spans="2:33" x14ac:dyDescent="0.35">
      <c r="B79" s="44"/>
      <c r="C79" s="466"/>
      <c r="D79" s="44"/>
      <c r="E79" s="44"/>
      <c r="F79" s="44"/>
      <c r="G79" s="44"/>
      <c r="H79" s="44"/>
      <c r="I79" s="44"/>
      <c r="J79" s="44"/>
      <c r="K79" s="44"/>
      <c r="L79" s="44"/>
      <c r="M79" s="44"/>
      <c r="N79" s="44"/>
      <c r="O79" s="44"/>
      <c r="P79" s="44"/>
      <c r="Q79" s="44"/>
      <c r="R79" s="44"/>
      <c r="S79" s="44"/>
      <c r="T79" s="467"/>
      <c r="U79" s="44"/>
      <c r="V79" s="44"/>
      <c r="W79" s="44"/>
      <c r="X79" s="44"/>
      <c r="Y79" s="44"/>
      <c r="Z79" s="44"/>
      <c r="AA79" s="44"/>
      <c r="AB79" s="44"/>
      <c r="AC79" s="44"/>
      <c r="AD79" s="44"/>
      <c r="AE79" s="44"/>
      <c r="AF79" s="44"/>
      <c r="AG79" s="44"/>
    </row>
    <row r="80" spans="2:33" x14ac:dyDescent="0.35">
      <c r="B80" s="44"/>
      <c r="C80" s="466"/>
      <c r="D80" s="44"/>
      <c r="E80" s="44"/>
      <c r="F80" s="44"/>
      <c r="G80" s="44"/>
      <c r="H80" s="44"/>
      <c r="I80" s="44"/>
      <c r="J80" s="44"/>
      <c r="K80" s="44"/>
      <c r="L80" s="44"/>
      <c r="M80" s="44"/>
      <c r="N80" s="44"/>
      <c r="O80" s="44"/>
      <c r="P80" s="44"/>
      <c r="Q80" s="44"/>
      <c r="R80" s="44"/>
      <c r="S80" s="44"/>
      <c r="T80" s="467"/>
      <c r="U80" s="44"/>
      <c r="V80" s="44"/>
      <c r="W80" s="44"/>
      <c r="X80" s="44"/>
      <c r="Y80" s="44"/>
      <c r="Z80" s="44"/>
      <c r="AA80" s="44"/>
      <c r="AB80" s="44"/>
      <c r="AC80" s="44"/>
      <c r="AD80" s="44"/>
      <c r="AE80" s="44"/>
      <c r="AF80" s="44"/>
      <c r="AG80" s="44"/>
    </row>
    <row r="81" spans="2:33" x14ac:dyDescent="0.35">
      <c r="B81" s="44"/>
      <c r="C81" s="466"/>
      <c r="D81" s="44"/>
      <c r="E81" s="44"/>
      <c r="F81" s="44"/>
      <c r="G81" s="44"/>
      <c r="H81" s="44"/>
      <c r="I81" s="44"/>
      <c r="J81" s="44"/>
      <c r="K81" s="44"/>
      <c r="L81" s="44"/>
      <c r="M81" s="44"/>
      <c r="N81" s="44"/>
      <c r="O81" s="44"/>
      <c r="P81" s="44"/>
      <c r="Q81" s="44"/>
      <c r="R81" s="44"/>
      <c r="S81" s="44"/>
      <c r="T81" s="467"/>
      <c r="U81" s="44"/>
      <c r="V81" s="44"/>
      <c r="W81" s="44"/>
      <c r="X81" s="44"/>
      <c r="Y81" s="44"/>
      <c r="Z81" s="44"/>
      <c r="AA81" s="44"/>
      <c r="AB81" s="44"/>
      <c r="AC81" s="44"/>
      <c r="AD81" s="44"/>
      <c r="AE81" s="44"/>
      <c r="AF81" s="44"/>
      <c r="AG81" s="44"/>
    </row>
    <row r="82" spans="2:33" x14ac:dyDescent="0.35">
      <c r="B82" s="44"/>
      <c r="C82" s="466"/>
      <c r="D82" s="44"/>
      <c r="E82" s="44"/>
      <c r="F82" s="44"/>
      <c r="G82" s="44"/>
      <c r="H82" s="44"/>
      <c r="I82" s="44"/>
      <c r="J82" s="44"/>
      <c r="K82" s="44"/>
      <c r="L82" s="44"/>
      <c r="M82" s="44"/>
      <c r="N82" s="44"/>
      <c r="O82" s="44"/>
      <c r="P82" s="44"/>
      <c r="Q82" s="44"/>
      <c r="R82" s="44"/>
      <c r="S82" s="44"/>
      <c r="T82" s="467"/>
      <c r="U82" s="44"/>
      <c r="V82" s="44"/>
      <c r="W82" s="44"/>
      <c r="X82" s="44"/>
      <c r="Y82" s="44"/>
      <c r="Z82" s="44"/>
      <c r="AA82" s="44"/>
      <c r="AB82" s="44"/>
      <c r="AC82" s="44"/>
      <c r="AD82" s="44"/>
      <c r="AE82" s="44"/>
      <c r="AF82" s="44"/>
      <c r="AG82" s="44"/>
    </row>
    <row r="83" spans="2:33" x14ac:dyDescent="0.35">
      <c r="B83" s="44"/>
      <c r="C83" s="466"/>
      <c r="D83" s="44"/>
      <c r="E83" s="44"/>
      <c r="F83" s="44"/>
      <c r="G83" s="44"/>
      <c r="H83" s="44"/>
      <c r="I83" s="44"/>
      <c r="J83" s="44"/>
      <c r="K83" s="44"/>
      <c r="L83" s="44"/>
      <c r="M83" s="44"/>
      <c r="N83" s="44"/>
      <c r="O83" s="44"/>
      <c r="P83" s="44"/>
      <c r="Q83" s="44"/>
      <c r="R83" s="44"/>
      <c r="S83" s="44"/>
      <c r="T83" s="467"/>
      <c r="U83" s="44"/>
      <c r="V83" s="44"/>
      <c r="W83" s="44"/>
      <c r="X83" s="44"/>
      <c r="Y83" s="44"/>
      <c r="Z83" s="44"/>
      <c r="AA83" s="44"/>
      <c r="AB83" s="44"/>
      <c r="AC83" s="44"/>
      <c r="AD83" s="44"/>
      <c r="AE83" s="44"/>
      <c r="AF83" s="44"/>
      <c r="AG83" s="44"/>
    </row>
    <row r="84" spans="2:33" x14ac:dyDescent="0.35">
      <c r="B84" s="44"/>
      <c r="C84" s="466"/>
      <c r="D84" s="44"/>
      <c r="E84" s="44"/>
      <c r="F84" s="44"/>
      <c r="G84" s="44"/>
      <c r="H84" s="44"/>
      <c r="I84" s="44"/>
      <c r="J84" s="44"/>
      <c r="K84" s="44"/>
      <c r="L84" s="44"/>
      <c r="M84" s="44"/>
      <c r="N84" s="44"/>
      <c r="O84" s="44"/>
      <c r="P84" s="44"/>
      <c r="Q84" s="44"/>
      <c r="R84" s="44"/>
      <c r="S84" s="44"/>
      <c r="T84" s="467"/>
      <c r="U84" s="44"/>
      <c r="V84" s="44"/>
      <c r="W84" s="44"/>
      <c r="X84" s="44"/>
      <c r="Y84" s="44"/>
      <c r="Z84" s="44"/>
      <c r="AA84" s="44"/>
      <c r="AB84" s="44"/>
      <c r="AC84" s="44"/>
      <c r="AD84" s="44"/>
      <c r="AE84" s="44"/>
      <c r="AF84" s="44"/>
      <c r="AG84" s="44"/>
    </row>
    <row r="85" spans="2:33" x14ac:dyDescent="0.35">
      <c r="B85" s="44"/>
      <c r="C85" s="466"/>
      <c r="D85" s="44"/>
      <c r="E85" s="44"/>
      <c r="F85" s="44"/>
      <c r="G85" s="44"/>
      <c r="H85" s="44"/>
      <c r="I85" s="44"/>
      <c r="J85" s="44"/>
      <c r="K85" s="44"/>
      <c r="L85" s="44"/>
      <c r="M85" s="44"/>
      <c r="N85" s="44"/>
      <c r="O85" s="44"/>
      <c r="P85" s="44"/>
      <c r="Q85" s="44"/>
      <c r="R85" s="44"/>
      <c r="S85" s="44"/>
      <c r="T85" s="467"/>
      <c r="U85" s="44"/>
      <c r="V85" s="44"/>
      <c r="W85" s="44"/>
      <c r="X85" s="44"/>
      <c r="Y85" s="44"/>
      <c r="Z85" s="44"/>
      <c r="AA85" s="44"/>
      <c r="AB85" s="44"/>
      <c r="AC85" s="44"/>
      <c r="AD85" s="44"/>
      <c r="AE85" s="44"/>
      <c r="AF85" s="44"/>
      <c r="AG85" s="44"/>
    </row>
    <row r="86" spans="2:33" x14ac:dyDescent="0.35">
      <c r="B86" s="44"/>
      <c r="C86" s="466"/>
      <c r="D86" s="44"/>
      <c r="E86" s="44"/>
      <c r="F86" s="44"/>
      <c r="G86" s="44"/>
      <c r="H86" s="44"/>
      <c r="I86" s="44"/>
      <c r="J86" s="44"/>
      <c r="K86" s="44"/>
      <c r="L86" s="44"/>
      <c r="M86" s="44"/>
      <c r="N86" s="44"/>
      <c r="O86" s="44"/>
      <c r="P86" s="44"/>
      <c r="Q86" s="44"/>
      <c r="R86" s="44"/>
      <c r="S86" s="44"/>
      <c r="T86" s="467"/>
      <c r="U86" s="44"/>
      <c r="V86" s="44"/>
      <c r="W86" s="44"/>
      <c r="X86" s="44"/>
      <c r="Y86" s="44"/>
      <c r="Z86" s="44"/>
      <c r="AA86" s="44"/>
      <c r="AB86" s="44"/>
      <c r="AC86" s="44"/>
      <c r="AD86" s="44"/>
      <c r="AE86" s="44"/>
      <c r="AF86" s="44"/>
      <c r="AG86" s="44"/>
    </row>
    <row r="87" spans="2:33" x14ac:dyDescent="0.35">
      <c r="B87" s="44"/>
      <c r="C87" s="466"/>
      <c r="D87" s="44"/>
      <c r="E87" s="44"/>
      <c r="F87" s="44"/>
      <c r="G87" s="44"/>
      <c r="H87" s="44"/>
      <c r="I87" s="44"/>
      <c r="J87" s="44"/>
      <c r="K87" s="44"/>
      <c r="L87" s="44"/>
      <c r="M87" s="44"/>
      <c r="N87" s="44"/>
      <c r="O87" s="44"/>
      <c r="P87" s="44"/>
      <c r="Q87" s="44"/>
      <c r="R87" s="44"/>
      <c r="S87" s="44"/>
      <c r="T87" s="467"/>
      <c r="U87" s="44"/>
      <c r="V87" s="44"/>
      <c r="W87" s="44"/>
      <c r="X87" s="44"/>
      <c r="Y87" s="44"/>
      <c r="Z87" s="44"/>
      <c r="AA87" s="44"/>
      <c r="AB87" s="44"/>
      <c r="AC87" s="44"/>
      <c r="AD87" s="44"/>
      <c r="AE87" s="44"/>
      <c r="AF87" s="44"/>
      <c r="AG87" s="44"/>
    </row>
  </sheetData>
  <sheetProtection algorithmName="SHA-512" hashValue="QLYVoCA4tVchzEyG1QrJt6BGZT1lXdapFRh3lAkq5ox1zntiw6mRoNPAyTonUiA43GgLNGpY021s3N8xNPDK/Q==" saltValue="i74sRvglg4K6bs9nxDuAqQ==" spinCount="100000" sheet="1" objects="1" scenarios="1"/>
  <autoFilter ref="B6:V6" xr:uid="{3409BB1B-7416-49CF-A945-7DBB5CB72410}">
    <sortState xmlns:xlrd2="http://schemas.microsoft.com/office/spreadsheetml/2017/richdata2" ref="B7:V50">
      <sortCondition descending="1" ref="V6"/>
    </sortState>
  </autoFilter>
  <mergeCells count="14">
    <mergeCell ref="P4:Q4"/>
    <mergeCell ref="P5:Q5"/>
    <mergeCell ref="B1:V2"/>
    <mergeCell ref="F4:G5"/>
    <mergeCell ref="H4:I4"/>
    <mergeCell ref="J4:K4"/>
    <mergeCell ref="N4:O4"/>
    <mergeCell ref="R4:S4"/>
    <mergeCell ref="H5:I5"/>
    <mergeCell ref="J5:K5"/>
    <mergeCell ref="N5:O5"/>
    <mergeCell ref="R5:S5"/>
    <mergeCell ref="L4:M4"/>
    <mergeCell ref="L5:M5"/>
  </mergeCells>
  <conditionalFormatting sqref="H51:T52">
    <cfRule type="cellIs" dxfId="83" priority="184" operator="greaterThanOrEqual">
      <formula>0.01</formula>
    </cfRule>
    <cfRule type="cellIs" dxfId="82" priority="185" operator="lessThan">
      <formula>0.01</formula>
    </cfRule>
  </conditionalFormatting>
  <conditionalFormatting sqref="J27:K27">
    <cfRule type="cellIs" dxfId="81" priority="107" operator="greaterThanOrEqual">
      <formula>0.01</formula>
    </cfRule>
    <cfRule type="cellIs" dxfId="80" priority="108" operator="lessThan">
      <formula>0.01</formula>
    </cfRule>
  </conditionalFormatting>
  <conditionalFormatting sqref="H9:I10">
    <cfRule type="cellIs" dxfId="79" priority="92" operator="greaterThanOrEqual">
      <formula>0.01</formula>
    </cfRule>
    <cfRule type="cellIs" dxfId="78" priority="93" operator="lessThan">
      <formula>0.01</formula>
    </cfRule>
  </conditionalFormatting>
  <conditionalFormatting sqref="H28:I28">
    <cfRule type="cellIs" dxfId="77" priority="84" operator="greaterThanOrEqual">
      <formula>0.01</formula>
    </cfRule>
    <cfRule type="cellIs" dxfId="76" priority="85" operator="lessThan">
      <formula>0.01</formula>
    </cfRule>
  </conditionalFormatting>
  <conditionalFormatting sqref="P38:P46 P49:P50 P7:P35">
    <cfRule type="cellIs" dxfId="75" priority="117" operator="greaterThanOrEqual">
      <formula>0.01</formula>
    </cfRule>
    <cfRule type="cellIs" dxfId="74" priority="118" operator="lessThan">
      <formula>0.01</formula>
    </cfRule>
  </conditionalFormatting>
  <conditionalFormatting sqref="H7:I8 J49:K50 H11:I14 H16:I16 S15:S25 R15:R27 O18:P25 N18:N27 H17:K25 H38:I44 H29:K34 J38:K45 N38:P44 N29:P34 N49:P50 R49:S49 R38:S44 R29:S34 N7:P17 R7:S14 R50">
    <cfRule type="cellIs" dxfId="73" priority="111" operator="greaterThanOrEqual">
      <formula>0.01</formula>
    </cfRule>
    <cfRule type="cellIs" dxfId="72" priority="112" operator="lessThan">
      <formula>0.01</formula>
    </cfRule>
  </conditionalFormatting>
  <conditionalFormatting sqref="H49:I50">
    <cfRule type="cellIs" dxfId="71" priority="113" operator="greaterThanOrEqual">
      <formula>0.01</formula>
    </cfRule>
    <cfRule type="cellIs" dxfId="70" priority="114" operator="lessThan">
      <formula>0.01</formula>
    </cfRule>
  </conditionalFormatting>
  <conditionalFormatting sqref="J7:K16">
    <cfRule type="cellIs" dxfId="69" priority="109" operator="greaterThanOrEqual">
      <formula>0.01</formula>
    </cfRule>
    <cfRule type="cellIs" dxfId="68" priority="110" operator="lessThan">
      <formula>0.01</formula>
    </cfRule>
  </conditionalFormatting>
  <conditionalFormatting sqref="H27:J27">
    <cfRule type="cellIs" dxfId="67" priority="105" operator="greaterThanOrEqual">
      <formula>0.01</formula>
    </cfRule>
    <cfRule type="cellIs" dxfId="66" priority="106" operator="lessThan">
      <formula>0.01</formula>
    </cfRule>
  </conditionalFormatting>
  <conditionalFormatting sqref="O27:P27">
    <cfRule type="cellIs" dxfId="65" priority="104" operator="lessThan">
      <formula>0.01</formula>
    </cfRule>
  </conditionalFormatting>
  <conditionalFormatting sqref="S27">
    <cfRule type="cellIs" dxfId="64" priority="102" operator="greaterThanOrEqual">
      <formula>0.01</formula>
    </cfRule>
    <cfRule type="cellIs" dxfId="63" priority="103" operator="lessThan">
      <formula>0.01</formula>
    </cfRule>
  </conditionalFormatting>
  <conditionalFormatting sqref="H15:I15">
    <cfRule type="cellIs" dxfId="62" priority="100" operator="greaterThanOrEqual">
      <formula>0.01</formula>
    </cfRule>
    <cfRule type="cellIs" dxfId="61" priority="101" operator="lessThan">
      <formula>0.01</formula>
    </cfRule>
  </conditionalFormatting>
  <conditionalFormatting sqref="O26:P26 S26">
    <cfRule type="cellIs" dxfId="60" priority="98" operator="greaterThanOrEqual">
      <formula>0.01</formula>
    </cfRule>
    <cfRule type="cellIs" dxfId="59" priority="99" operator="lessThan">
      <formula>0.01</formula>
    </cfRule>
  </conditionalFormatting>
  <conditionalFormatting sqref="J26:K26">
    <cfRule type="cellIs" dxfId="58" priority="96" operator="greaterThanOrEqual">
      <formula>0.01</formula>
    </cfRule>
    <cfRule type="cellIs" dxfId="57" priority="97" operator="lessThan">
      <formula>0.01</formula>
    </cfRule>
  </conditionalFormatting>
  <conditionalFormatting sqref="H26:I26">
    <cfRule type="cellIs" dxfId="56" priority="94" operator="greaterThanOrEqual">
      <formula>0.01</formula>
    </cfRule>
    <cfRule type="cellIs" dxfId="55" priority="95" operator="lessThan">
      <formula>0.01</formula>
    </cfRule>
  </conditionalFormatting>
  <conditionalFormatting sqref="H46:K46 N46:P46 R46:S46">
    <cfRule type="cellIs" dxfId="54" priority="90" operator="greaterThanOrEqual">
      <formula>0.01</formula>
    </cfRule>
    <cfRule type="cellIs" dxfId="53" priority="91" operator="lessThan">
      <formula>0.01</formula>
    </cfRule>
  </conditionalFormatting>
  <conditionalFormatting sqref="N28:P28 R28:S28">
    <cfRule type="cellIs" dxfId="52" priority="88" operator="greaterThanOrEqual">
      <formula>0.01</formula>
    </cfRule>
    <cfRule type="cellIs" dxfId="51" priority="89" operator="lessThan">
      <formula>0.01</formula>
    </cfRule>
  </conditionalFormatting>
  <conditionalFormatting sqref="J28:K28">
    <cfRule type="cellIs" dxfId="50" priority="86" operator="greaterThanOrEqual">
      <formula>0.01</formula>
    </cfRule>
    <cfRule type="cellIs" dxfId="49" priority="87" operator="lessThan">
      <formula>0.01</formula>
    </cfRule>
  </conditionalFormatting>
  <conditionalFormatting sqref="H35">
    <cfRule type="cellIs" dxfId="48" priority="82" operator="greaterThanOrEqual">
      <formula>0.01</formula>
    </cfRule>
    <cfRule type="cellIs" dxfId="47" priority="83" operator="lessThan">
      <formula>0.01</formula>
    </cfRule>
  </conditionalFormatting>
  <conditionalFormatting sqref="I35:K35 N35:P35 R35:S35">
    <cfRule type="cellIs" dxfId="46" priority="80" operator="greaterThanOrEqual">
      <formula>0.01</formula>
    </cfRule>
    <cfRule type="cellIs" dxfId="45" priority="81" operator="lessThan">
      <formula>0.01</formula>
    </cfRule>
  </conditionalFormatting>
  <conditionalFormatting sqref="L7:M35 L49:M50 L38:M46">
    <cfRule type="cellIs" dxfId="44" priority="62" operator="greaterThanOrEqual">
      <formula>0.01</formula>
    </cfRule>
    <cfRule type="cellIs" dxfId="43" priority="63" operator="lessThan">
      <formula>0.01</formula>
    </cfRule>
  </conditionalFormatting>
  <conditionalFormatting sqref="L7:M35 L49:M50 L38:M46">
    <cfRule type="cellIs" dxfId="42" priority="60" operator="greaterThanOrEqual">
      <formula>0.01</formula>
    </cfRule>
    <cfRule type="cellIs" dxfId="41" priority="61" operator="lessThan">
      <formula>0.01</formula>
    </cfRule>
  </conditionalFormatting>
  <conditionalFormatting sqref="R47:S48">
    <cfRule type="cellIs" dxfId="40" priority="58" operator="greaterThanOrEqual">
      <formula>0.01</formula>
    </cfRule>
    <cfRule type="cellIs" dxfId="39" priority="59" operator="lessThan">
      <formula>0.01</formula>
    </cfRule>
  </conditionalFormatting>
  <conditionalFormatting sqref="H47:K48">
    <cfRule type="cellIs" dxfId="38" priority="50" operator="greaterThanOrEqual">
      <formula>0.01</formula>
    </cfRule>
    <cfRule type="cellIs" dxfId="37" priority="51" operator="lessThan">
      <formula>0.01</formula>
    </cfRule>
  </conditionalFormatting>
  <conditionalFormatting sqref="N36:O37 R36:S37">
    <cfRule type="cellIs" dxfId="36" priority="48" operator="greaterThanOrEqual">
      <formula>0.01</formula>
    </cfRule>
    <cfRule type="cellIs" dxfId="35" priority="49" operator="lessThan">
      <formula>0.01</formula>
    </cfRule>
  </conditionalFormatting>
  <conditionalFormatting sqref="L36:M37">
    <cfRule type="cellIs" dxfId="34" priority="44" operator="greaterThanOrEqual">
      <formula>0.01</formula>
    </cfRule>
    <cfRule type="cellIs" dxfId="33" priority="45" operator="lessThan">
      <formula>0.01</formula>
    </cfRule>
  </conditionalFormatting>
  <conditionalFormatting sqref="L36:M37">
    <cfRule type="cellIs" dxfId="32" priority="42" operator="greaterThanOrEqual">
      <formula>0.01</formula>
    </cfRule>
    <cfRule type="cellIs" dxfId="31" priority="43" operator="lessThan">
      <formula>0.01</formula>
    </cfRule>
  </conditionalFormatting>
  <conditionalFormatting sqref="H36:K37">
    <cfRule type="cellIs" dxfId="30" priority="40" operator="greaterThanOrEqual">
      <formula>0.01</formula>
    </cfRule>
    <cfRule type="cellIs" dxfId="29" priority="41" operator="lessThan">
      <formula>0.01</formula>
    </cfRule>
  </conditionalFormatting>
  <conditionalFormatting sqref="Q38:Q46 Q49:Q50 Q7:Q35">
    <cfRule type="cellIs" dxfId="28" priority="38" operator="greaterThanOrEqual">
      <formula>0.01</formula>
    </cfRule>
    <cfRule type="cellIs" dxfId="27" priority="39" operator="lessThan">
      <formula>0.01</formula>
    </cfRule>
  </conditionalFormatting>
  <conditionalFormatting sqref="Q38:Q44 Q29:Q34 Q49:Q50 Q7:Q25">
    <cfRule type="cellIs" dxfId="26" priority="36" operator="greaterThanOrEqual">
      <formula>0.01</formula>
    </cfRule>
    <cfRule type="cellIs" dxfId="25" priority="37" operator="lessThan">
      <formula>0.01</formula>
    </cfRule>
  </conditionalFormatting>
  <conditionalFormatting sqref="Q27">
    <cfRule type="cellIs" dxfId="24" priority="35" operator="lessThan">
      <formula>0.01</formula>
    </cfRule>
  </conditionalFormatting>
  <conditionalFormatting sqref="Q26">
    <cfRule type="cellIs" dxfId="23" priority="33" operator="greaterThanOrEqual">
      <formula>0.01</formula>
    </cfRule>
    <cfRule type="cellIs" dxfId="22" priority="34" operator="lessThan">
      <formula>0.01</formula>
    </cfRule>
  </conditionalFormatting>
  <conditionalFormatting sqref="Q46">
    <cfRule type="cellIs" dxfId="21" priority="31" operator="greaterThanOrEqual">
      <formula>0.01</formula>
    </cfRule>
    <cfRule type="cellIs" dxfId="20" priority="32" operator="lessThan">
      <formula>0.01</formula>
    </cfRule>
  </conditionalFormatting>
  <conditionalFormatting sqref="Q28">
    <cfRule type="cellIs" dxfId="19" priority="29" operator="greaterThanOrEqual">
      <formula>0.01</formula>
    </cfRule>
    <cfRule type="cellIs" dxfId="18" priority="30" operator="lessThan">
      <formula>0.01</formula>
    </cfRule>
  </conditionalFormatting>
  <conditionalFormatting sqref="Q35">
    <cfRule type="cellIs" dxfId="17" priority="27" operator="greaterThanOrEqual">
      <formula>0.01</formula>
    </cfRule>
    <cfRule type="cellIs" dxfId="16" priority="28" operator="lessThan">
      <formula>0.01</formula>
    </cfRule>
  </conditionalFormatting>
  <conditionalFormatting sqref="N47:O48">
    <cfRule type="cellIs" dxfId="15" priority="17" operator="greaterThanOrEqual">
      <formula>0.01</formula>
    </cfRule>
    <cfRule type="cellIs" dxfId="14" priority="18" operator="lessThan">
      <formula>0.01</formula>
    </cfRule>
  </conditionalFormatting>
  <conditionalFormatting sqref="L47:M48">
    <cfRule type="cellIs" dxfId="13" priority="13" operator="greaterThanOrEqual">
      <formula>0.01</formula>
    </cfRule>
    <cfRule type="cellIs" dxfId="12" priority="14" operator="lessThan">
      <formula>0.01</formula>
    </cfRule>
  </conditionalFormatting>
  <conditionalFormatting sqref="L47:M48">
    <cfRule type="cellIs" dxfId="11" priority="11" operator="greaterThanOrEqual">
      <formula>0.01</formula>
    </cfRule>
    <cfRule type="cellIs" dxfId="10" priority="12" operator="lessThan">
      <formula>0.01</formula>
    </cfRule>
  </conditionalFormatting>
  <conditionalFormatting sqref="P36:Q37">
    <cfRule type="cellIs" dxfId="9" priority="9" operator="greaterThanOrEqual">
      <formula>0.01</formula>
    </cfRule>
    <cfRule type="cellIs" dxfId="8" priority="10" operator="lessThan">
      <formula>0.01</formula>
    </cfRule>
  </conditionalFormatting>
  <conditionalFormatting sqref="P36:Q37">
    <cfRule type="cellIs" dxfId="7" priority="7" operator="greaterThanOrEqual">
      <formula>0.01</formula>
    </cfRule>
    <cfRule type="cellIs" dxfId="6" priority="8" operator="lessThan">
      <formula>0.01</formula>
    </cfRule>
  </conditionalFormatting>
  <conditionalFormatting sqref="P47:Q48">
    <cfRule type="cellIs" dxfId="5" priority="5" operator="greaterThanOrEqual">
      <formula>0.01</formula>
    </cfRule>
    <cfRule type="cellIs" dxfId="4" priority="6" operator="lessThan">
      <formula>0.01</formula>
    </cfRule>
  </conditionalFormatting>
  <conditionalFormatting sqref="P47:Q48">
    <cfRule type="cellIs" dxfId="3" priority="3" operator="greaterThanOrEqual">
      <formula>0.01</formula>
    </cfRule>
    <cfRule type="cellIs" dxfId="2" priority="4" operator="lessThan">
      <formula>0.01</formula>
    </cfRule>
  </conditionalFormatting>
  <conditionalFormatting sqref="S50">
    <cfRule type="cellIs" dxfId="1" priority="1" operator="greaterThanOrEqual">
      <formula>0.01</formula>
    </cfRule>
    <cfRule type="cellIs" dxfId="0" priority="2" operator="lessThan">
      <formula>0.01</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6"/>
  <sheetViews>
    <sheetView workbookViewId="0">
      <selection activeCell="C20" sqref="C20"/>
    </sheetView>
  </sheetViews>
  <sheetFormatPr defaultRowHeight="14.5" x14ac:dyDescent="0.35"/>
  <cols>
    <col min="2" max="2" width="67" customWidth="1"/>
    <col min="4" max="4" width="38.7265625" customWidth="1"/>
    <col min="6" max="6" width="37.1796875" customWidth="1"/>
    <col min="7" max="7" width="25" customWidth="1"/>
    <col min="10" max="10" width="48.26953125" customWidth="1"/>
  </cols>
  <sheetData>
    <row r="1" spans="1:10" ht="16" thickBot="1" x14ac:dyDescent="0.4">
      <c r="A1" s="239"/>
      <c r="B1" s="164" t="s">
        <v>367</v>
      </c>
      <c r="C1" s="238"/>
      <c r="D1" s="164" t="s">
        <v>368</v>
      </c>
      <c r="E1" s="238"/>
      <c r="F1" s="164" t="s">
        <v>369</v>
      </c>
      <c r="G1" s="238"/>
      <c r="H1" s="238"/>
      <c r="I1" s="238"/>
      <c r="J1" s="238"/>
    </row>
    <row r="2" spans="1:10" ht="15" thickTop="1" x14ac:dyDescent="0.35">
      <c r="A2" s="240"/>
      <c r="B2" s="328" t="s">
        <v>296</v>
      </c>
      <c r="C2" s="238"/>
      <c r="D2" s="80" t="s">
        <v>63</v>
      </c>
      <c r="E2" s="238"/>
      <c r="F2" s="295">
        <v>5</v>
      </c>
      <c r="G2" s="296" t="s">
        <v>370</v>
      </c>
      <c r="H2" s="238"/>
      <c r="I2" s="238"/>
      <c r="J2" s="238"/>
    </row>
    <row r="3" spans="1:10" ht="15" thickBot="1" x14ac:dyDescent="0.4">
      <c r="A3" s="240"/>
      <c r="B3" s="204" t="s">
        <v>295</v>
      </c>
      <c r="C3" s="238"/>
      <c r="D3" s="81" t="s">
        <v>354</v>
      </c>
      <c r="E3" s="238"/>
      <c r="F3" s="80">
        <v>10</v>
      </c>
      <c r="G3" s="296" t="s">
        <v>371</v>
      </c>
      <c r="H3" s="238"/>
      <c r="I3" s="238"/>
      <c r="J3" s="238"/>
    </row>
    <row r="4" spans="1:10" ht="26.5" thickBot="1" x14ac:dyDescent="0.4">
      <c r="A4" s="240"/>
      <c r="B4" s="361" t="s">
        <v>294</v>
      </c>
      <c r="C4" s="238"/>
      <c r="D4" s="238"/>
      <c r="E4" s="238"/>
      <c r="F4" s="81">
        <v>20</v>
      </c>
      <c r="G4" s="296" t="s">
        <v>372</v>
      </c>
      <c r="H4" s="238"/>
      <c r="I4" s="238"/>
      <c r="J4" s="238"/>
    </row>
    <row r="5" spans="1:10" ht="16" thickBot="1" x14ac:dyDescent="0.4">
      <c r="A5" s="240"/>
      <c r="B5" s="203" t="s">
        <v>290</v>
      </c>
      <c r="C5" s="238"/>
      <c r="D5" s="164" t="s">
        <v>166</v>
      </c>
      <c r="E5" s="238"/>
      <c r="F5" s="238"/>
      <c r="G5" s="2"/>
      <c r="H5" s="238"/>
      <c r="I5" s="238"/>
      <c r="J5" s="238"/>
    </row>
    <row r="6" spans="1:10" ht="16.5" thickTop="1" thickBot="1" x14ac:dyDescent="0.4">
      <c r="A6" s="240"/>
      <c r="B6" s="203" t="s">
        <v>285</v>
      </c>
      <c r="C6" s="238"/>
      <c r="D6" s="207" t="s">
        <v>64</v>
      </c>
      <c r="E6" s="238"/>
      <c r="F6" s="164" t="s">
        <v>373</v>
      </c>
      <c r="G6" s="238"/>
      <c r="H6" s="238"/>
      <c r="I6" s="238"/>
      <c r="J6" s="238"/>
    </row>
    <row r="7" spans="1:10" ht="15.5" thickTop="1" thickBot="1" x14ac:dyDescent="0.4">
      <c r="A7" s="240"/>
      <c r="B7" s="203" t="s">
        <v>288</v>
      </c>
      <c r="C7" s="238"/>
      <c r="D7" s="208" t="s">
        <v>374</v>
      </c>
      <c r="E7" s="238"/>
      <c r="F7" s="78" t="s">
        <v>88</v>
      </c>
      <c r="G7" s="238"/>
      <c r="H7" s="238"/>
      <c r="I7" s="238"/>
      <c r="J7" s="238"/>
    </row>
    <row r="8" spans="1:10" ht="15" thickBot="1" x14ac:dyDescent="0.4">
      <c r="A8" s="240"/>
      <c r="B8" s="203" t="s">
        <v>293</v>
      </c>
      <c r="C8" s="238"/>
      <c r="D8" s="239"/>
      <c r="E8" s="238"/>
      <c r="F8" s="79" t="s">
        <v>91</v>
      </c>
      <c r="G8" s="238"/>
      <c r="H8" s="238"/>
      <c r="I8" s="238"/>
      <c r="J8" s="238"/>
    </row>
    <row r="9" spans="1:10" ht="16" thickBot="1" x14ac:dyDescent="0.4">
      <c r="A9" s="240"/>
      <c r="B9" s="203" t="s">
        <v>62</v>
      </c>
      <c r="C9" s="238"/>
      <c r="D9" s="164" t="s">
        <v>375</v>
      </c>
      <c r="E9" s="238"/>
      <c r="F9" s="243"/>
      <c r="G9" s="238"/>
      <c r="H9" s="238"/>
      <c r="I9" s="238"/>
      <c r="J9" s="238"/>
    </row>
    <row r="10" spans="1:10" ht="16.5" thickTop="1" thickBot="1" x14ac:dyDescent="0.4">
      <c r="A10" s="240"/>
      <c r="B10" s="203" t="s">
        <v>291</v>
      </c>
      <c r="C10" s="238"/>
      <c r="D10" s="235">
        <v>0.5</v>
      </c>
      <c r="E10" s="238"/>
      <c r="F10" s="164" t="s">
        <v>376</v>
      </c>
      <c r="G10" s="165" t="s">
        <v>377</v>
      </c>
      <c r="H10" s="165" t="s">
        <v>378</v>
      </c>
      <c r="I10" s="244"/>
      <c r="J10" s="242"/>
    </row>
    <row r="11" spans="1:10" ht="15.5" thickTop="1" thickBot="1" x14ac:dyDescent="0.4">
      <c r="A11" s="240"/>
      <c r="B11" s="203" t="s">
        <v>281</v>
      </c>
      <c r="C11" s="238"/>
      <c r="D11" s="236">
        <v>0.99</v>
      </c>
      <c r="E11" s="238"/>
      <c r="F11" s="231" t="s">
        <v>379</v>
      </c>
      <c r="G11" s="232">
        <v>131.38999999999999</v>
      </c>
      <c r="H11" s="233" t="s">
        <v>263</v>
      </c>
      <c r="I11" s="244"/>
      <c r="J11" s="238"/>
    </row>
    <row r="12" spans="1:10" ht="15" thickBot="1" x14ac:dyDescent="0.4">
      <c r="A12" s="240"/>
      <c r="B12" s="203" t="s">
        <v>279</v>
      </c>
      <c r="C12" s="238"/>
      <c r="D12" s="238"/>
      <c r="E12" s="238"/>
      <c r="F12" s="199" t="s">
        <v>264</v>
      </c>
      <c r="G12" s="234">
        <v>24.45</v>
      </c>
      <c r="H12" s="198" t="s">
        <v>265</v>
      </c>
      <c r="I12" s="244"/>
      <c r="J12" s="238"/>
    </row>
    <row r="13" spans="1:10" ht="18" customHeight="1" thickBot="1" x14ac:dyDescent="0.4">
      <c r="A13" s="240"/>
      <c r="B13" s="203" t="s">
        <v>276</v>
      </c>
      <c r="C13" s="238"/>
      <c r="D13" s="164" t="s">
        <v>380</v>
      </c>
      <c r="E13" s="238"/>
      <c r="F13" s="244"/>
      <c r="G13" s="244"/>
      <c r="H13" s="244"/>
      <c r="I13" s="244"/>
      <c r="J13" s="243"/>
    </row>
    <row r="14" spans="1:10" ht="16.5" thickTop="1" thickBot="1" x14ac:dyDescent="0.4">
      <c r="A14" s="239"/>
      <c r="B14" s="203" t="s">
        <v>303</v>
      </c>
      <c r="C14" s="238"/>
      <c r="D14" s="80">
        <v>10</v>
      </c>
      <c r="E14" s="238"/>
      <c r="F14" s="164" t="s">
        <v>381</v>
      </c>
      <c r="G14" s="165" t="s">
        <v>382</v>
      </c>
      <c r="H14" s="165" t="s">
        <v>377</v>
      </c>
      <c r="I14" s="165" t="s">
        <v>378</v>
      </c>
      <c r="J14" s="238"/>
    </row>
    <row r="15" spans="1:10" ht="15" thickTop="1" x14ac:dyDescent="0.35">
      <c r="A15" s="240"/>
      <c r="B15" s="203" t="s">
        <v>302</v>
      </c>
      <c r="C15" s="238"/>
      <c r="D15" s="80">
        <v>25</v>
      </c>
      <c r="E15" s="238"/>
      <c r="F15" s="245" t="s">
        <v>383</v>
      </c>
      <c r="G15" s="246" t="s">
        <v>384</v>
      </c>
      <c r="H15" s="246">
        <v>8</v>
      </c>
      <c r="I15" s="247" t="s">
        <v>385</v>
      </c>
      <c r="J15" s="238"/>
    </row>
    <row r="16" spans="1:10" x14ac:dyDescent="0.35">
      <c r="A16" s="240"/>
      <c r="B16" s="203" t="s">
        <v>284</v>
      </c>
      <c r="C16" s="238"/>
      <c r="D16" s="80">
        <v>50</v>
      </c>
      <c r="E16" s="238"/>
      <c r="F16" s="200" t="s">
        <v>386</v>
      </c>
      <c r="G16" s="201" t="s">
        <v>387</v>
      </c>
      <c r="H16" s="201">
        <v>12</v>
      </c>
      <c r="I16" s="202" t="s">
        <v>385</v>
      </c>
      <c r="J16" s="238"/>
    </row>
    <row r="17" spans="1:10" x14ac:dyDescent="0.35">
      <c r="A17" s="240"/>
      <c r="B17" s="203" t="s">
        <v>283</v>
      </c>
      <c r="C17" s="238"/>
      <c r="D17" s="80">
        <v>1000</v>
      </c>
      <c r="E17" s="238"/>
      <c r="F17" s="200" t="s">
        <v>388</v>
      </c>
      <c r="G17" s="201" t="s">
        <v>389</v>
      </c>
      <c r="H17" s="201">
        <v>24</v>
      </c>
      <c r="I17" s="202" t="s">
        <v>385</v>
      </c>
      <c r="J17" s="238"/>
    </row>
    <row r="18" spans="1:10" ht="15" thickBot="1" x14ac:dyDescent="0.4">
      <c r="A18" s="240"/>
      <c r="B18" s="203" t="s">
        <v>278</v>
      </c>
      <c r="C18" s="238"/>
      <c r="D18" s="81">
        <v>10000</v>
      </c>
      <c r="E18" s="238"/>
      <c r="F18" s="200" t="s">
        <v>390</v>
      </c>
      <c r="G18" s="201" t="s">
        <v>391</v>
      </c>
      <c r="H18" s="201">
        <v>250</v>
      </c>
      <c r="I18" s="202" t="s">
        <v>392</v>
      </c>
      <c r="J18" s="238"/>
    </row>
    <row r="19" spans="1:10" x14ac:dyDescent="0.35">
      <c r="A19" s="240"/>
      <c r="B19" s="203" t="s">
        <v>282</v>
      </c>
      <c r="C19" s="238"/>
      <c r="D19" s="238"/>
      <c r="E19" s="238"/>
      <c r="F19" s="200" t="s">
        <v>393</v>
      </c>
      <c r="G19" s="201" t="s">
        <v>394</v>
      </c>
      <c r="H19" s="201">
        <v>31</v>
      </c>
      <c r="I19" s="202" t="s">
        <v>395</v>
      </c>
      <c r="J19" s="238"/>
    </row>
    <row r="20" spans="1:10" x14ac:dyDescent="0.35">
      <c r="A20" s="240"/>
      <c r="B20" s="205" t="s">
        <v>298</v>
      </c>
      <c r="C20" s="238"/>
      <c r="D20" s="238"/>
      <c r="E20" s="238"/>
      <c r="F20" s="200" t="s">
        <v>396</v>
      </c>
      <c r="G20" s="201" t="s">
        <v>397</v>
      </c>
      <c r="H20" s="201">
        <v>40</v>
      </c>
      <c r="I20" s="202" t="s">
        <v>395</v>
      </c>
      <c r="J20" s="238"/>
    </row>
    <row r="21" spans="1:10" x14ac:dyDescent="0.35">
      <c r="A21" s="240"/>
      <c r="B21" s="205" t="s">
        <v>297</v>
      </c>
      <c r="C21" s="238"/>
      <c r="D21" s="238"/>
      <c r="E21" s="238"/>
      <c r="F21" s="200" t="s">
        <v>398</v>
      </c>
      <c r="G21" s="201" t="s">
        <v>399</v>
      </c>
      <c r="H21" s="201">
        <v>78</v>
      </c>
      <c r="I21" s="202" t="s">
        <v>395</v>
      </c>
      <c r="J21" s="238"/>
    </row>
    <row r="22" spans="1:10" ht="15" thickBot="1" x14ac:dyDescent="0.4">
      <c r="A22" s="239"/>
      <c r="B22" s="206" t="s">
        <v>292</v>
      </c>
      <c r="C22" s="238"/>
      <c r="D22" s="238"/>
      <c r="E22" s="238"/>
      <c r="F22" s="200" t="s">
        <v>400</v>
      </c>
      <c r="G22" s="201" t="s">
        <v>401</v>
      </c>
      <c r="H22" s="248">
        <f>WY_mid*365*24</f>
        <v>271560</v>
      </c>
      <c r="I22" s="202" t="s">
        <v>402</v>
      </c>
      <c r="J22" s="238"/>
    </row>
    <row r="23" spans="1:10" x14ac:dyDescent="0.35">
      <c r="A23" s="239"/>
      <c r="B23" s="241"/>
      <c r="C23" s="238"/>
      <c r="D23" s="238"/>
      <c r="E23" s="238"/>
      <c r="F23" s="200" t="s">
        <v>403</v>
      </c>
      <c r="G23" s="201" t="s">
        <v>404</v>
      </c>
      <c r="H23" s="248">
        <f>WY_high*365*24</f>
        <v>350400</v>
      </c>
      <c r="I23" s="202" t="s">
        <v>402</v>
      </c>
      <c r="J23" s="242"/>
    </row>
    <row r="24" spans="1:10" ht="15" thickBot="1" x14ac:dyDescent="0.4">
      <c r="A24" s="239"/>
      <c r="B24" s="238"/>
      <c r="C24" s="238"/>
      <c r="D24" s="238"/>
      <c r="E24" s="238"/>
      <c r="F24" s="199" t="s">
        <v>405</v>
      </c>
      <c r="G24" s="234" t="s">
        <v>406</v>
      </c>
      <c r="H24" s="249">
        <f>LT*365*24</f>
        <v>683280</v>
      </c>
      <c r="I24" s="198" t="s">
        <v>402</v>
      </c>
      <c r="J24" s="242"/>
    </row>
    <row r="25" spans="1:10" x14ac:dyDescent="0.35">
      <c r="A25" s="239"/>
      <c r="B25" s="238"/>
      <c r="C25" s="238"/>
      <c r="D25" s="238"/>
      <c r="E25" s="238"/>
      <c r="F25" s="238"/>
      <c r="G25" s="238"/>
      <c r="H25" s="238"/>
      <c r="I25" s="238"/>
      <c r="J25" s="238"/>
    </row>
    <row r="26" spans="1:10" x14ac:dyDescent="0.35">
      <c r="A26" s="239"/>
      <c r="B26" s="238"/>
      <c r="C26" s="238"/>
      <c r="D26" s="238"/>
      <c r="E26" s="238"/>
      <c r="F26" s="238"/>
      <c r="G26" s="238"/>
      <c r="H26" s="238"/>
      <c r="I26" s="238"/>
      <c r="J26" s="238"/>
    </row>
    <row r="27" spans="1:10" x14ac:dyDescent="0.35">
      <c r="A27" s="239"/>
      <c r="B27" s="238"/>
      <c r="C27" s="238"/>
      <c r="D27" s="238"/>
      <c r="E27" s="238"/>
      <c r="F27" s="238"/>
      <c r="G27" s="238"/>
      <c r="H27" s="238"/>
      <c r="I27" s="238"/>
      <c r="J27" s="238"/>
    </row>
    <row r="28" spans="1:10" x14ac:dyDescent="0.35">
      <c r="A28" s="239"/>
      <c r="B28" s="238"/>
      <c r="C28" s="238"/>
      <c r="D28" s="238"/>
      <c r="E28" s="238"/>
      <c r="F28" s="238"/>
      <c r="G28" s="238"/>
      <c r="H28" s="238"/>
      <c r="I28" s="238"/>
      <c r="J28" s="238"/>
    </row>
    <row r="29" spans="1:10" x14ac:dyDescent="0.35">
      <c r="A29" s="239"/>
      <c r="B29" s="238"/>
      <c r="C29" s="238"/>
      <c r="D29" s="238"/>
      <c r="E29" s="238"/>
      <c r="F29" s="238"/>
      <c r="G29" s="238"/>
      <c r="H29" s="238"/>
      <c r="I29" s="238"/>
      <c r="J29" s="238"/>
    </row>
    <row r="30" spans="1:10" x14ac:dyDescent="0.35">
      <c r="A30" s="239"/>
      <c r="B30" s="238"/>
      <c r="C30" s="238"/>
      <c r="D30" s="238"/>
      <c r="E30" s="238"/>
      <c r="F30" s="238"/>
      <c r="G30" s="238"/>
      <c r="H30" s="238"/>
      <c r="I30" s="238"/>
      <c r="J30" s="238"/>
    </row>
    <row r="31" spans="1:10" x14ac:dyDescent="0.35">
      <c r="A31" s="239"/>
      <c r="B31" s="238"/>
      <c r="C31" s="238"/>
      <c r="D31" s="238"/>
      <c r="E31" s="238"/>
      <c r="F31" s="238"/>
      <c r="G31" s="238"/>
      <c r="H31" s="238"/>
      <c r="I31" s="238"/>
      <c r="J31" s="238"/>
    </row>
    <row r="32" spans="1:10" x14ac:dyDescent="0.35">
      <c r="A32" s="239"/>
      <c r="B32" s="238"/>
      <c r="C32" s="238"/>
      <c r="D32" s="238"/>
      <c r="E32" s="238"/>
      <c r="F32" s="238"/>
      <c r="G32" s="238"/>
      <c r="H32" s="238"/>
      <c r="I32" s="238"/>
      <c r="J32" s="238"/>
    </row>
    <row r="33" spans="1:10" x14ac:dyDescent="0.35">
      <c r="A33" s="239"/>
      <c r="B33" s="238"/>
      <c r="C33" s="238"/>
      <c r="D33" s="238"/>
      <c r="E33" s="238"/>
      <c r="F33" s="238"/>
      <c r="G33" s="238"/>
      <c r="H33" s="238"/>
      <c r="I33" s="238"/>
      <c r="J33" s="238"/>
    </row>
    <row r="34" spans="1:10" x14ac:dyDescent="0.35">
      <c r="A34" s="238"/>
      <c r="B34" s="238"/>
      <c r="C34" s="238"/>
      <c r="D34" s="238"/>
      <c r="E34" s="238"/>
      <c r="F34" s="238"/>
      <c r="G34" s="238"/>
      <c r="H34" s="238"/>
      <c r="I34" s="238"/>
      <c r="J34" s="238"/>
    </row>
    <row r="35" spans="1:10" x14ac:dyDescent="0.35">
      <c r="A35" s="238"/>
      <c r="B35" s="238"/>
      <c r="C35" s="238"/>
      <c r="D35" s="238"/>
      <c r="E35" s="238"/>
      <c r="F35" s="238"/>
      <c r="G35" s="238"/>
      <c r="H35" s="238"/>
      <c r="I35" s="238"/>
      <c r="J35" s="238"/>
    </row>
    <row r="36" spans="1:10" x14ac:dyDescent="0.35">
      <c r="A36" s="238"/>
      <c r="B36" s="238"/>
      <c r="C36" s="238"/>
      <c r="D36" s="238"/>
      <c r="E36" s="238"/>
      <c r="F36" s="238"/>
      <c r="G36" s="238"/>
      <c r="H36" s="238"/>
      <c r="I36" s="238"/>
      <c r="J36" s="238"/>
    </row>
    <row r="37" spans="1:10" x14ac:dyDescent="0.35">
      <c r="A37" s="238"/>
      <c r="B37" s="238"/>
      <c r="C37" s="238"/>
      <c r="D37" s="238"/>
      <c r="E37" s="238"/>
      <c r="F37" s="238"/>
      <c r="G37" s="238"/>
      <c r="H37" s="238"/>
      <c r="I37" s="238"/>
      <c r="J37" s="238"/>
    </row>
    <row r="38" spans="1:10" x14ac:dyDescent="0.35">
      <c r="A38" s="238"/>
      <c r="B38" s="238"/>
      <c r="C38" s="238"/>
      <c r="D38" s="238"/>
      <c r="E38" s="238"/>
      <c r="F38" s="238"/>
      <c r="G38" s="238"/>
      <c r="H38" s="238"/>
      <c r="I38" s="238"/>
      <c r="J38" s="238"/>
    </row>
    <row r="39" spans="1:10" x14ac:dyDescent="0.35">
      <c r="A39" s="238"/>
      <c r="B39" s="238"/>
      <c r="C39" s="238"/>
      <c r="D39" s="238"/>
      <c r="E39" s="238"/>
      <c r="F39" s="238"/>
      <c r="G39" s="238"/>
      <c r="H39" s="238"/>
      <c r="I39" s="238"/>
      <c r="J39" s="238"/>
    </row>
    <row r="40" spans="1:10" x14ac:dyDescent="0.35">
      <c r="A40" s="238"/>
      <c r="B40" s="238"/>
      <c r="C40" s="238"/>
      <c r="D40" s="238"/>
      <c r="E40" s="238"/>
      <c r="F40" s="238"/>
      <c r="G40" s="238"/>
      <c r="H40" s="238"/>
      <c r="I40" s="238"/>
      <c r="J40" s="238"/>
    </row>
    <row r="41" spans="1:10" x14ac:dyDescent="0.35">
      <c r="A41" s="238"/>
      <c r="B41" s="238"/>
      <c r="C41" s="238"/>
      <c r="D41" s="238"/>
      <c r="E41" s="238"/>
      <c r="F41" s="238"/>
      <c r="G41" s="238"/>
      <c r="H41" s="238"/>
      <c r="I41" s="238"/>
      <c r="J41" s="238"/>
    </row>
    <row r="42" spans="1:10" x14ac:dyDescent="0.35">
      <c r="A42" s="238"/>
      <c r="B42" s="238"/>
      <c r="C42" s="238"/>
      <c r="D42" s="238"/>
      <c r="E42" s="238"/>
      <c r="F42" s="238"/>
      <c r="G42" s="238"/>
      <c r="H42" s="238"/>
      <c r="I42" s="238"/>
      <c r="J42" s="238"/>
    </row>
    <row r="43" spans="1:10" x14ac:dyDescent="0.35">
      <c r="A43" s="238"/>
      <c r="B43" s="238"/>
      <c r="C43" s="238"/>
      <c r="D43" s="238"/>
      <c r="E43" s="238"/>
      <c r="F43" s="238"/>
      <c r="G43" s="238"/>
      <c r="H43" s="238"/>
      <c r="I43" s="238"/>
      <c r="J43" s="238"/>
    </row>
    <row r="44" spans="1:10" x14ac:dyDescent="0.35">
      <c r="A44" s="238"/>
      <c r="B44" s="238"/>
      <c r="C44" s="238"/>
      <c r="D44" s="238"/>
      <c r="E44" s="238"/>
      <c r="F44" s="238"/>
      <c r="G44" s="238"/>
      <c r="H44" s="238"/>
      <c r="I44" s="238"/>
      <c r="J44" s="238"/>
    </row>
    <row r="45" spans="1:10" x14ac:dyDescent="0.35">
      <c r="A45" s="238"/>
      <c r="B45" s="238"/>
      <c r="C45" s="238"/>
      <c r="D45" s="238"/>
      <c r="E45" s="238"/>
      <c r="F45" s="238"/>
      <c r="G45" s="238"/>
      <c r="H45" s="238"/>
      <c r="I45" s="238"/>
      <c r="J45" s="238"/>
    </row>
    <row r="46" spans="1:10" x14ac:dyDescent="0.35">
      <c r="B46" s="238"/>
    </row>
  </sheetData>
  <sheetProtection algorithmName="SHA-512" hashValue="KIBfO1XDN2MI15aR3K71e7FnvbC1+TuE0MyqpwRhLLd99dpnfZ96ad0GfZtQ8a9XU+t3eZWdnZQJF2RzlFGMNA==" saltValue="hea9c10K7rL//xFf1JiUsQ=="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21"/>
  <sheetViews>
    <sheetView workbookViewId="0">
      <selection activeCell="F24" sqref="F24"/>
    </sheetView>
  </sheetViews>
  <sheetFormatPr defaultColWidth="9.1796875" defaultRowHeight="14.5" x14ac:dyDescent="0.35"/>
  <cols>
    <col min="1" max="1" width="4.7265625" style="2" customWidth="1"/>
    <col min="2" max="2" width="33" style="2" customWidth="1"/>
    <col min="3" max="3" width="10.453125" style="2" customWidth="1"/>
    <col min="4" max="4" width="12.453125" style="2" customWidth="1"/>
    <col min="5" max="5" width="16.54296875" style="2" bestFit="1" customWidth="1"/>
    <col min="6" max="16384" width="9.1796875" style="2"/>
  </cols>
  <sheetData>
    <row r="1" spans="2:7" ht="18.5" x14ac:dyDescent="0.45">
      <c r="B1" s="1" t="s">
        <v>407</v>
      </c>
    </row>
    <row r="2" spans="2:7" ht="15" thickBot="1" x14ac:dyDescent="0.4"/>
    <row r="3" spans="2:7" ht="44" thickBot="1" x14ac:dyDescent="0.4">
      <c r="C3" s="274" t="s">
        <v>64</v>
      </c>
      <c r="D3" s="168" t="s">
        <v>374</v>
      </c>
      <c r="E3" s="168" t="s">
        <v>408</v>
      </c>
      <c r="G3" s="100"/>
    </row>
    <row r="4" spans="2:7" x14ac:dyDescent="0.35">
      <c r="B4" s="275" t="s">
        <v>409</v>
      </c>
      <c r="C4" s="276">
        <v>80</v>
      </c>
      <c r="D4" s="277">
        <f>AVERAGE(65.9,71.9,74.8,77.1)</f>
        <v>72.425000000000011</v>
      </c>
      <c r="E4" s="278"/>
      <c r="G4" s="100"/>
    </row>
    <row r="5" spans="2:7" ht="16.5" x14ac:dyDescent="0.35">
      <c r="B5" s="113" t="s">
        <v>410</v>
      </c>
      <c r="C5" s="461">
        <f>C6/2</f>
        <v>535</v>
      </c>
      <c r="D5" s="461">
        <f>D6/2</f>
        <v>445</v>
      </c>
      <c r="E5" s="169" t="s">
        <v>92</v>
      </c>
      <c r="G5" s="100"/>
    </row>
    <row r="6" spans="2:7" ht="15" customHeight="1" x14ac:dyDescent="0.35">
      <c r="B6" s="113" t="s">
        <v>411</v>
      </c>
      <c r="C6" s="116">
        <v>1070</v>
      </c>
      <c r="D6" s="170">
        <v>890</v>
      </c>
      <c r="E6" s="169" t="s">
        <v>89</v>
      </c>
      <c r="G6" s="100"/>
    </row>
    <row r="7" spans="2:7" ht="17.25" customHeight="1" x14ac:dyDescent="0.35">
      <c r="B7" s="113" t="s">
        <v>412</v>
      </c>
      <c r="C7" s="115">
        <v>40</v>
      </c>
      <c r="D7" s="171">
        <v>40</v>
      </c>
      <c r="E7" s="169" t="s">
        <v>89</v>
      </c>
    </row>
    <row r="8" spans="2:7" x14ac:dyDescent="0.35">
      <c r="B8" s="113" t="s">
        <v>413</v>
      </c>
      <c r="C8" s="115">
        <v>31</v>
      </c>
      <c r="D8" s="171">
        <v>31</v>
      </c>
      <c r="E8" s="169" t="s">
        <v>92</v>
      </c>
    </row>
    <row r="9" spans="2:7" ht="15" thickBot="1" x14ac:dyDescent="0.4">
      <c r="B9" s="114" t="s">
        <v>414</v>
      </c>
      <c r="C9" s="117">
        <v>78</v>
      </c>
      <c r="D9" s="172">
        <v>78</v>
      </c>
      <c r="E9" s="173"/>
    </row>
    <row r="10" spans="2:7" x14ac:dyDescent="0.35">
      <c r="B10" s="768"/>
      <c r="C10" s="768"/>
      <c r="D10" s="769"/>
      <c r="E10" s="769"/>
    </row>
    <row r="11" spans="2:7" x14ac:dyDescent="0.35">
      <c r="B11" s="573"/>
      <c r="C11" s="573"/>
      <c r="D11" s="573"/>
      <c r="E11" s="573"/>
    </row>
    <row r="12" spans="2:7" x14ac:dyDescent="0.35">
      <c r="B12" s="45" t="s">
        <v>415</v>
      </c>
    </row>
    <row r="13" spans="2:7" x14ac:dyDescent="0.35">
      <c r="B13" s="46" t="s">
        <v>416</v>
      </c>
    </row>
    <row r="14" spans="2:7" x14ac:dyDescent="0.35">
      <c r="B14" s="2" t="s">
        <v>417</v>
      </c>
    </row>
    <row r="15" spans="2:7" x14ac:dyDescent="0.35">
      <c r="B15" s="2" t="s">
        <v>418</v>
      </c>
    </row>
    <row r="16" spans="2:7" x14ac:dyDescent="0.35">
      <c r="B16" s="2" t="s">
        <v>419</v>
      </c>
    </row>
    <row r="17" spans="2:5" x14ac:dyDescent="0.35">
      <c r="B17" s="2" t="s">
        <v>420</v>
      </c>
    </row>
    <row r="18" spans="2:5" x14ac:dyDescent="0.35">
      <c r="B18" s="2" t="s">
        <v>421</v>
      </c>
    </row>
    <row r="21" spans="2:5" ht="78" customHeight="1" x14ac:dyDescent="0.35">
      <c r="B21" s="767" t="s">
        <v>422</v>
      </c>
      <c r="C21" s="767"/>
      <c r="D21" s="767"/>
      <c r="E21" s="767"/>
    </row>
  </sheetData>
  <sheetProtection algorithmName="SHA-512" hashValue="cu/KiZYFsdM3osy9/VtXLNPgpUbpGCXL+D8aNs/RJLj5szjK3BRdwE+puWttVPsIj2N/FQ+e9yP/BdXfHBzvtw==" saltValue="zHbVccODLupOkAyNSeHAJg==" spinCount="100000" sheet="1" objects="1" scenarios="1"/>
  <mergeCells count="2">
    <mergeCell ref="B21:E21"/>
    <mergeCell ref="B10:E10"/>
  </mergeCells>
  <phoneticPr fontId="4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F1F2-AE98-45AC-9C12-8962150E2C9A}">
  <dimension ref="A1:B10"/>
  <sheetViews>
    <sheetView workbookViewId="0">
      <selection activeCell="A8" sqref="A8"/>
    </sheetView>
  </sheetViews>
  <sheetFormatPr defaultColWidth="9.1796875" defaultRowHeight="14.5" x14ac:dyDescent="0.35"/>
  <cols>
    <col min="1" max="1" width="24.81640625" style="2" customWidth="1"/>
    <col min="2" max="2" width="157.26953125" style="2" customWidth="1"/>
    <col min="3" max="16384" width="9.1796875" style="2"/>
  </cols>
  <sheetData>
    <row r="1" spans="1:2" ht="18.5" x14ac:dyDescent="0.35">
      <c r="A1" s="435" t="s">
        <v>1</v>
      </c>
      <c r="B1" s="436"/>
    </row>
    <row r="2" spans="1:2" x14ac:dyDescent="0.35">
      <c r="A2" s="436"/>
      <c r="B2" s="436"/>
    </row>
    <row r="3" spans="1:2" x14ac:dyDescent="0.35">
      <c r="A3" s="437" t="s">
        <v>2</v>
      </c>
      <c r="B3" s="437" t="s">
        <v>3</v>
      </c>
    </row>
    <row r="4" spans="1:2" x14ac:dyDescent="0.35">
      <c r="A4" s="438" t="s">
        <v>4</v>
      </c>
      <c r="B4" s="439" t="s">
        <v>5</v>
      </c>
    </row>
    <row r="5" spans="1:2" x14ac:dyDescent="0.35">
      <c r="A5" s="438" t="s">
        <v>6</v>
      </c>
      <c r="B5" s="439" t="s">
        <v>7</v>
      </c>
    </row>
    <row r="6" spans="1:2" x14ac:dyDescent="0.35">
      <c r="A6" s="438" t="s">
        <v>8</v>
      </c>
      <c r="B6" s="439" t="s">
        <v>9</v>
      </c>
    </row>
    <row r="7" spans="1:2" x14ac:dyDescent="0.35">
      <c r="A7" s="438" t="s">
        <v>10</v>
      </c>
      <c r="B7" s="439" t="s">
        <v>11</v>
      </c>
    </row>
    <row r="8" spans="1:2" x14ac:dyDescent="0.35">
      <c r="A8" s="438" t="s">
        <v>12</v>
      </c>
      <c r="B8" s="439" t="s">
        <v>13</v>
      </c>
    </row>
    <row r="9" spans="1:2" x14ac:dyDescent="0.35">
      <c r="A9" s="438" t="s">
        <v>14</v>
      </c>
      <c r="B9" s="439" t="s">
        <v>15</v>
      </c>
    </row>
    <row r="10" spans="1:2" x14ac:dyDescent="0.35">
      <c r="A10" s="438" t="s">
        <v>16</v>
      </c>
      <c r="B10" s="439" t="s">
        <v>17</v>
      </c>
    </row>
  </sheetData>
  <sheetProtection algorithmName="SHA-512" hashValue="/ml/9pyYPjBI18c00SenVi0tYyc9+eZMe90kB492xuQphjQuHFpBHKz4iOJ9ocLRvhthkAj0FNMznvNXbeIuMg==" saltValue="+2cJui51crTZ+XyW9+vATg==" spinCount="100000" sheet="1" objects="1" scenarios="1"/>
  <hyperlinks>
    <hyperlink ref="A4" location="Dashboard!A1" display="Dashboard" xr:uid="{D8FC79F3-3507-4255-A6BB-4E206412C83B}"/>
    <hyperlink ref="A5" location="RR!A1" display="RR" xr:uid="{D0BD30B2-FEBE-4BB4-9252-34EB96E044E4}"/>
    <hyperlink ref="A7" location="'Health Data'!A1" display="Health Data" xr:uid="{2E06087F-6331-4CC8-B141-7ADF8E02E921}"/>
    <hyperlink ref="A8" location="'Dermal Exposure'!A1" display="Dermal Exposure" xr:uid="{332292F3-EFB9-4DA5-88D6-DDF41E96926D}"/>
    <hyperlink ref="A9" location="'Inhalation Exposure'!A1" display="Inhalation Exposure" xr:uid="{85BFECE7-7033-4C07-8F5A-1EDD6DF7EBCB}"/>
    <hyperlink ref="A6" location="'RR &lt;PEL'!A1" display="RR &lt;PEL" xr:uid="{E55F6A71-EFBC-4512-B6E8-6BFDF87877F2}"/>
    <hyperlink ref="A10" location="'Inhalation &lt; PEL'!A1" display="Inhalation &lt;PEL" xr:uid="{F1A5D2D6-2832-404B-B2AB-E5DB8B2005CC}"/>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5"/>
  <sheetViews>
    <sheetView topLeftCell="A40" workbookViewId="0">
      <selection activeCell="Z48" sqref="Z48"/>
    </sheetView>
  </sheetViews>
  <sheetFormatPr defaultColWidth="9.1796875" defaultRowHeight="14.5" x14ac:dyDescent="0.35"/>
  <cols>
    <col min="1" max="1" width="6" style="340" customWidth="1"/>
    <col min="2" max="10" width="9.1796875" style="340"/>
    <col min="11" max="16384" width="9.1796875" style="2"/>
  </cols>
  <sheetData>
    <row r="1" spans="1:20" ht="27.75" customHeight="1" x14ac:dyDescent="0.65">
      <c r="A1" s="589" t="s">
        <v>18</v>
      </c>
      <c r="B1" s="590"/>
      <c r="C1" s="590"/>
      <c r="D1" s="590"/>
      <c r="E1" s="590"/>
      <c r="F1" s="590"/>
      <c r="G1" s="590"/>
      <c r="H1" s="590"/>
      <c r="I1" s="590"/>
      <c r="J1" s="590"/>
      <c r="K1" s="590"/>
      <c r="L1" s="590"/>
      <c r="M1" s="590"/>
      <c r="N1" s="590"/>
      <c r="O1" s="590"/>
      <c r="P1" s="590"/>
      <c r="Q1" s="590"/>
      <c r="R1" s="590"/>
      <c r="S1" s="590"/>
      <c r="T1" s="591"/>
    </row>
    <row r="2" spans="1:20" ht="14.25" customHeight="1" x14ac:dyDescent="0.35">
      <c r="A2" s="579" t="s">
        <v>19</v>
      </c>
      <c r="B2" s="580"/>
      <c r="C2" s="580"/>
      <c r="D2" s="580"/>
      <c r="E2" s="580"/>
      <c r="F2" s="580"/>
      <c r="G2" s="580"/>
      <c r="H2" s="580"/>
      <c r="I2" s="580"/>
      <c r="J2" s="580"/>
      <c r="K2" s="580"/>
      <c r="L2" s="580"/>
      <c r="M2" s="580"/>
      <c r="N2" s="580"/>
      <c r="O2" s="580"/>
      <c r="P2" s="580"/>
      <c r="Q2" s="580"/>
      <c r="R2" s="580"/>
      <c r="S2" s="580"/>
      <c r="T2" s="581"/>
    </row>
    <row r="3" spans="1:20" ht="39" customHeight="1" x14ac:dyDescent="0.35">
      <c r="A3" s="341"/>
      <c r="B3" s="584" t="s">
        <v>20</v>
      </c>
      <c r="C3" s="584"/>
      <c r="D3" s="584"/>
      <c r="E3" s="584"/>
      <c r="F3" s="584"/>
      <c r="G3" s="584"/>
      <c r="H3" s="584"/>
      <c r="I3" s="584"/>
      <c r="J3" s="584"/>
      <c r="K3" s="584"/>
      <c r="L3" s="584"/>
      <c r="M3" s="584"/>
      <c r="N3" s="584"/>
      <c r="O3" s="584"/>
      <c r="P3" s="584"/>
      <c r="Q3" s="584"/>
      <c r="R3" s="584"/>
      <c r="S3" s="584"/>
      <c r="T3" s="354"/>
    </row>
    <row r="4" spans="1:20" ht="10.5" customHeight="1" x14ac:dyDescent="0.35">
      <c r="A4" s="341"/>
      <c r="B4" s="550"/>
      <c r="C4" s="550"/>
      <c r="D4" s="550"/>
      <c r="E4" s="550"/>
      <c r="F4" s="550"/>
      <c r="G4" s="550"/>
      <c r="H4" s="550"/>
      <c r="I4" s="550"/>
      <c r="J4" s="550"/>
      <c r="K4" s="550"/>
      <c r="L4" s="550"/>
      <c r="M4" s="550"/>
      <c r="N4" s="550"/>
      <c r="O4" s="550"/>
      <c r="P4" s="550"/>
      <c r="Q4" s="342"/>
      <c r="R4" s="342"/>
      <c r="S4" s="342"/>
      <c r="T4" s="354"/>
    </row>
    <row r="5" spans="1:20" ht="15.5" x14ac:dyDescent="0.35">
      <c r="A5" s="579" t="s">
        <v>21</v>
      </c>
      <c r="B5" s="580"/>
      <c r="C5" s="580"/>
      <c r="D5" s="580"/>
      <c r="E5" s="580"/>
      <c r="F5" s="580"/>
      <c r="G5" s="580"/>
      <c r="H5" s="580"/>
      <c r="I5" s="580"/>
      <c r="J5" s="580"/>
      <c r="K5" s="580"/>
      <c r="L5" s="580"/>
      <c r="M5" s="580"/>
      <c r="N5" s="580"/>
      <c r="O5" s="580"/>
      <c r="P5" s="580"/>
      <c r="Q5" s="580"/>
      <c r="R5" s="580"/>
      <c r="S5" s="580"/>
      <c r="T5" s="581"/>
    </row>
    <row r="6" spans="1:20" ht="15" customHeight="1" x14ac:dyDescent="0.35">
      <c r="A6" s="344"/>
      <c r="B6" s="585" t="s">
        <v>22</v>
      </c>
      <c r="C6" s="585"/>
      <c r="D6" s="585"/>
      <c r="E6" s="585"/>
      <c r="F6" s="585"/>
      <c r="G6" s="585"/>
      <c r="H6" s="585"/>
      <c r="I6" s="585"/>
      <c r="J6" s="585"/>
      <c r="K6" s="585"/>
      <c r="L6" s="585"/>
      <c r="M6" s="585"/>
      <c r="N6" s="585"/>
      <c r="O6" s="585"/>
      <c r="P6" s="585"/>
      <c r="Q6" s="585"/>
      <c r="R6" s="585"/>
      <c r="S6" s="585"/>
      <c r="T6" s="354"/>
    </row>
    <row r="7" spans="1:20" ht="15" customHeight="1" x14ac:dyDescent="0.35">
      <c r="A7" s="343"/>
      <c r="B7" s="342"/>
      <c r="C7" s="583" t="s">
        <v>23</v>
      </c>
      <c r="D7" s="583"/>
      <c r="E7" s="583"/>
      <c r="F7" s="583"/>
      <c r="G7" s="583"/>
      <c r="H7" s="583"/>
      <c r="I7" s="583"/>
      <c r="J7" s="583"/>
      <c r="K7" s="583"/>
      <c r="L7" s="583"/>
      <c r="M7" s="583"/>
      <c r="N7" s="583"/>
      <c r="O7" s="583"/>
      <c r="P7" s="583"/>
      <c r="Q7" s="583"/>
      <c r="R7" s="583"/>
      <c r="S7" s="583"/>
      <c r="T7" s="354"/>
    </row>
    <row r="8" spans="1:20" ht="15" customHeight="1" x14ac:dyDescent="0.35">
      <c r="A8" s="344"/>
      <c r="B8" s="342"/>
      <c r="C8" s="583" t="s">
        <v>24</v>
      </c>
      <c r="D8" s="583"/>
      <c r="E8" s="583"/>
      <c r="F8" s="583"/>
      <c r="G8" s="583"/>
      <c r="H8" s="583"/>
      <c r="I8" s="583"/>
      <c r="J8" s="583"/>
      <c r="K8" s="583"/>
      <c r="L8" s="583"/>
      <c r="M8" s="583"/>
      <c r="N8" s="583"/>
      <c r="O8" s="583"/>
      <c r="P8" s="583"/>
      <c r="Q8" s="583"/>
      <c r="R8" s="583"/>
      <c r="S8" s="583"/>
      <c r="T8" s="354"/>
    </row>
    <row r="9" spans="1:20" ht="15" customHeight="1" x14ac:dyDescent="0.35">
      <c r="A9" s="344"/>
      <c r="B9" s="342"/>
      <c r="C9" s="583" t="s">
        <v>25</v>
      </c>
      <c r="D9" s="583"/>
      <c r="E9" s="583"/>
      <c r="F9" s="583"/>
      <c r="G9" s="583"/>
      <c r="H9" s="583"/>
      <c r="I9" s="583"/>
      <c r="J9" s="583"/>
      <c r="K9" s="583"/>
      <c r="L9" s="583"/>
      <c r="M9" s="583"/>
      <c r="N9" s="583"/>
      <c r="O9" s="583"/>
      <c r="P9" s="583"/>
      <c r="Q9" s="583"/>
      <c r="R9" s="583"/>
      <c r="S9" s="583"/>
      <c r="T9" s="354"/>
    </row>
    <row r="10" spans="1:20" ht="15" customHeight="1" x14ac:dyDescent="0.35">
      <c r="A10" s="344"/>
      <c r="B10" s="342"/>
      <c r="C10" s="583" t="s">
        <v>26</v>
      </c>
      <c r="D10" s="583"/>
      <c r="E10" s="583"/>
      <c r="F10" s="583"/>
      <c r="G10" s="583"/>
      <c r="H10" s="583"/>
      <c r="I10" s="583"/>
      <c r="J10" s="583"/>
      <c r="K10" s="583"/>
      <c r="L10" s="583"/>
      <c r="M10" s="583"/>
      <c r="N10" s="583"/>
      <c r="O10" s="583"/>
      <c r="P10" s="583"/>
      <c r="Q10" s="583"/>
      <c r="R10" s="583"/>
      <c r="S10" s="583"/>
      <c r="T10" s="354"/>
    </row>
    <row r="11" spans="1:20" ht="15" customHeight="1" x14ac:dyDescent="0.35">
      <c r="A11" s="344"/>
      <c r="B11" s="342"/>
      <c r="C11" s="583" t="s">
        <v>27</v>
      </c>
      <c r="D11" s="583"/>
      <c r="E11" s="583"/>
      <c r="F11" s="583"/>
      <c r="G11" s="583"/>
      <c r="H11" s="583"/>
      <c r="I11" s="583"/>
      <c r="J11" s="583"/>
      <c r="K11" s="583"/>
      <c r="L11" s="583"/>
      <c r="M11" s="583"/>
      <c r="N11" s="583"/>
      <c r="O11" s="583"/>
      <c r="P11" s="583"/>
      <c r="Q11" s="583"/>
      <c r="R11" s="583"/>
      <c r="S11" s="583"/>
      <c r="T11" s="354"/>
    </row>
    <row r="12" spans="1:20" ht="15" customHeight="1" x14ac:dyDescent="0.35">
      <c r="A12" s="344"/>
      <c r="B12" s="342"/>
      <c r="C12" s="583" t="s">
        <v>28</v>
      </c>
      <c r="D12" s="583"/>
      <c r="E12" s="583"/>
      <c r="F12" s="583"/>
      <c r="G12" s="583"/>
      <c r="H12" s="583"/>
      <c r="I12" s="583"/>
      <c r="J12" s="583"/>
      <c r="K12" s="583"/>
      <c r="L12" s="583"/>
      <c r="M12" s="583"/>
      <c r="N12" s="583"/>
      <c r="O12" s="583"/>
      <c r="P12" s="583"/>
      <c r="Q12" s="583"/>
      <c r="R12" s="583"/>
      <c r="S12" s="583"/>
      <c r="T12" s="354"/>
    </row>
    <row r="13" spans="1:20" ht="15" customHeight="1" x14ac:dyDescent="0.35">
      <c r="A13" s="344"/>
      <c r="B13" s="342"/>
      <c r="C13" s="583" t="s">
        <v>29</v>
      </c>
      <c r="D13" s="583"/>
      <c r="E13" s="583"/>
      <c r="F13" s="583"/>
      <c r="G13" s="583"/>
      <c r="H13" s="583"/>
      <c r="I13" s="583"/>
      <c r="J13" s="583"/>
      <c r="K13" s="583"/>
      <c r="L13" s="583"/>
      <c r="M13" s="583"/>
      <c r="N13" s="583"/>
      <c r="O13" s="583"/>
      <c r="P13" s="583"/>
      <c r="Q13" s="583"/>
      <c r="R13" s="583"/>
      <c r="S13" s="583"/>
      <c r="T13" s="354"/>
    </row>
    <row r="14" spans="1:20" ht="49.5" customHeight="1" x14ac:dyDescent="0.35">
      <c r="A14" s="344"/>
      <c r="B14" s="585" t="s">
        <v>30</v>
      </c>
      <c r="C14" s="585"/>
      <c r="D14" s="585"/>
      <c r="E14" s="585"/>
      <c r="F14" s="585"/>
      <c r="G14" s="585"/>
      <c r="H14" s="585"/>
      <c r="I14" s="585"/>
      <c r="J14" s="585"/>
      <c r="K14" s="585"/>
      <c r="L14" s="585"/>
      <c r="M14" s="585"/>
      <c r="N14" s="585"/>
      <c r="O14" s="585"/>
      <c r="P14" s="585"/>
      <c r="Q14" s="585"/>
      <c r="R14" s="585"/>
      <c r="S14" s="585"/>
      <c r="T14" s="353"/>
    </row>
    <row r="15" spans="1:20" ht="40.5" customHeight="1" x14ac:dyDescent="0.35">
      <c r="A15" s="344"/>
      <c r="B15" s="584" t="s">
        <v>31</v>
      </c>
      <c r="C15" s="584"/>
      <c r="D15" s="584"/>
      <c r="E15" s="584"/>
      <c r="F15" s="584"/>
      <c r="G15" s="584"/>
      <c r="H15" s="584"/>
      <c r="I15" s="584"/>
      <c r="J15" s="584"/>
      <c r="K15" s="584"/>
      <c r="L15" s="584"/>
      <c r="M15" s="584"/>
      <c r="N15" s="584"/>
      <c r="O15" s="584"/>
      <c r="P15" s="584"/>
      <c r="Q15" s="584"/>
      <c r="R15" s="584"/>
      <c r="S15" s="584"/>
      <c r="T15" s="8"/>
    </row>
    <row r="16" spans="1:20" ht="24" customHeight="1" x14ac:dyDescent="0.35">
      <c r="A16" s="344"/>
      <c r="B16" s="584" t="s">
        <v>32</v>
      </c>
      <c r="C16" s="584"/>
      <c r="D16" s="584"/>
      <c r="E16" s="584"/>
      <c r="F16" s="584"/>
      <c r="G16" s="584"/>
      <c r="H16" s="584"/>
      <c r="I16" s="584"/>
      <c r="J16" s="584"/>
      <c r="K16" s="584"/>
      <c r="L16" s="584"/>
      <c r="M16" s="584"/>
      <c r="N16" s="584"/>
      <c r="O16" s="584"/>
      <c r="P16" s="584"/>
      <c r="Q16" s="584"/>
      <c r="R16" s="584"/>
      <c r="S16" s="584"/>
      <c r="T16" s="8"/>
    </row>
    <row r="17" spans="1:20" x14ac:dyDescent="0.35">
      <c r="A17" s="344"/>
      <c r="B17" s="342"/>
      <c r="C17" s="342"/>
      <c r="D17" s="342"/>
      <c r="E17" s="342"/>
      <c r="F17" s="342"/>
      <c r="G17" s="342"/>
      <c r="H17" s="342"/>
      <c r="I17" s="342"/>
      <c r="J17" s="342"/>
      <c r="K17" s="100"/>
      <c r="L17" s="100"/>
      <c r="M17" s="100"/>
      <c r="N17" s="100"/>
      <c r="O17" s="100"/>
      <c r="P17" s="100"/>
      <c r="Q17" s="100"/>
      <c r="R17" s="100"/>
      <c r="S17" s="100"/>
      <c r="T17" s="8"/>
    </row>
    <row r="18" spans="1:20" x14ac:dyDescent="0.35">
      <c r="A18" s="344"/>
      <c r="B18" s="342"/>
      <c r="C18" s="342"/>
      <c r="D18" s="342"/>
      <c r="E18" s="342"/>
      <c r="F18" s="342"/>
      <c r="G18" s="342"/>
      <c r="H18" s="342"/>
      <c r="I18" s="342"/>
      <c r="J18" s="342"/>
      <c r="K18" s="100"/>
      <c r="L18" s="100"/>
      <c r="M18" s="100"/>
      <c r="N18" s="100"/>
      <c r="O18" s="100"/>
      <c r="P18" s="100"/>
      <c r="Q18" s="100"/>
      <c r="R18" s="100"/>
      <c r="S18" s="100"/>
      <c r="T18" s="8"/>
    </row>
    <row r="19" spans="1:20" x14ac:dyDescent="0.35">
      <c r="A19" s="344"/>
      <c r="B19" s="342"/>
      <c r="C19" s="342"/>
      <c r="D19" s="342"/>
      <c r="E19" s="342"/>
      <c r="F19" s="342"/>
      <c r="G19" s="342"/>
      <c r="H19" s="342"/>
      <c r="I19" s="342"/>
      <c r="J19" s="342"/>
      <c r="K19" s="100"/>
      <c r="L19" s="100"/>
      <c r="M19" s="100"/>
      <c r="N19" s="100"/>
      <c r="O19" s="100"/>
      <c r="P19" s="100"/>
      <c r="Q19" s="100"/>
      <c r="R19" s="100"/>
      <c r="S19" s="100"/>
      <c r="T19" s="8"/>
    </row>
    <row r="20" spans="1:20" x14ac:dyDescent="0.35">
      <c r="A20" s="344"/>
      <c r="B20" s="342"/>
      <c r="C20" s="342"/>
      <c r="D20" s="342"/>
      <c r="E20" s="342"/>
      <c r="F20" s="342"/>
      <c r="G20" s="342"/>
      <c r="H20" s="342"/>
      <c r="I20" s="342"/>
      <c r="J20" s="342"/>
      <c r="K20" s="100"/>
      <c r="L20" s="100"/>
      <c r="M20" s="100"/>
      <c r="N20" s="100"/>
      <c r="O20" s="100"/>
      <c r="P20" s="100"/>
      <c r="Q20" s="100"/>
      <c r="R20" s="100"/>
      <c r="S20" s="100"/>
      <c r="T20" s="8"/>
    </row>
    <row r="21" spans="1:20" x14ac:dyDescent="0.35">
      <c r="A21" s="344"/>
      <c r="B21" s="342"/>
      <c r="C21" s="342"/>
      <c r="D21" s="342"/>
      <c r="E21" s="342"/>
      <c r="F21" s="342"/>
      <c r="G21" s="342"/>
      <c r="H21" s="342"/>
      <c r="I21" s="342"/>
      <c r="J21" s="342"/>
      <c r="K21" s="100"/>
      <c r="L21" s="100"/>
      <c r="M21" s="100"/>
      <c r="N21" s="100"/>
      <c r="O21" s="100"/>
      <c r="P21" s="100"/>
      <c r="Q21" s="100"/>
      <c r="R21" s="100"/>
      <c r="S21" s="100"/>
      <c r="T21" s="8"/>
    </row>
    <row r="22" spans="1:20" x14ac:dyDescent="0.35">
      <c r="A22" s="344"/>
      <c r="B22" s="342"/>
      <c r="C22" s="342"/>
      <c r="D22" s="342"/>
      <c r="E22" s="342"/>
      <c r="F22" s="342"/>
      <c r="G22" s="342"/>
      <c r="H22" s="342"/>
      <c r="I22" s="342"/>
      <c r="J22" s="342"/>
      <c r="K22" s="100"/>
      <c r="L22" s="100"/>
      <c r="M22" s="100"/>
      <c r="N22" s="100"/>
      <c r="O22" s="100"/>
      <c r="P22" s="100"/>
      <c r="Q22" s="100"/>
      <c r="R22" s="100"/>
      <c r="S22" s="100"/>
      <c r="T22" s="8"/>
    </row>
    <row r="23" spans="1:20" x14ac:dyDescent="0.35">
      <c r="A23" s="344"/>
      <c r="B23" s="342"/>
      <c r="C23" s="342"/>
      <c r="D23" s="342"/>
      <c r="E23" s="342"/>
      <c r="F23" s="342"/>
      <c r="G23" s="342"/>
      <c r="H23" s="342"/>
      <c r="I23" s="342"/>
      <c r="J23" s="342"/>
      <c r="K23" s="100"/>
      <c r="L23" s="100"/>
      <c r="M23" s="100"/>
      <c r="N23" s="100"/>
      <c r="O23" s="100"/>
      <c r="P23" s="100"/>
      <c r="Q23" s="100"/>
      <c r="R23" s="100"/>
      <c r="S23" s="100"/>
      <c r="T23" s="8"/>
    </row>
    <row r="24" spans="1:20" x14ac:dyDescent="0.35">
      <c r="A24" s="344"/>
      <c r="B24" s="342"/>
      <c r="C24" s="342"/>
      <c r="D24" s="342"/>
      <c r="E24" s="342"/>
      <c r="F24" s="342"/>
      <c r="G24" s="342"/>
      <c r="H24" s="342"/>
      <c r="I24" s="342"/>
      <c r="J24" s="342"/>
      <c r="K24" s="100"/>
      <c r="L24" s="100"/>
      <c r="M24" s="100"/>
      <c r="N24" s="100"/>
      <c r="O24" s="100"/>
      <c r="P24" s="100"/>
      <c r="Q24" s="100"/>
      <c r="R24" s="100"/>
      <c r="S24" s="100"/>
      <c r="T24" s="8"/>
    </row>
    <row r="25" spans="1:20" x14ac:dyDescent="0.35">
      <c r="A25" s="344"/>
      <c r="B25" s="342"/>
      <c r="C25" s="342"/>
      <c r="D25" s="342"/>
      <c r="E25" s="342"/>
      <c r="F25" s="342"/>
      <c r="G25" s="342"/>
      <c r="H25" s="342"/>
      <c r="I25" s="342"/>
      <c r="J25" s="342"/>
      <c r="K25" s="100"/>
      <c r="L25" s="100"/>
      <c r="M25" s="100"/>
      <c r="N25" s="100"/>
      <c r="O25" s="100"/>
      <c r="P25" s="100"/>
      <c r="Q25" s="100"/>
      <c r="R25" s="100"/>
      <c r="S25" s="100"/>
      <c r="T25" s="8"/>
    </row>
    <row r="26" spans="1:20" x14ac:dyDescent="0.35">
      <c r="A26" s="344"/>
      <c r="B26" s="342"/>
      <c r="C26" s="342"/>
      <c r="D26" s="342"/>
      <c r="E26" s="342"/>
      <c r="F26" s="342"/>
      <c r="G26" s="342"/>
      <c r="H26" s="342"/>
      <c r="I26" s="342"/>
      <c r="J26" s="342"/>
      <c r="K26" s="100"/>
      <c r="L26" s="100"/>
      <c r="M26" s="100"/>
      <c r="N26" s="100"/>
      <c r="O26" s="100"/>
      <c r="P26" s="100"/>
      <c r="Q26" s="100"/>
      <c r="R26" s="100"/>
      <c r="S26" s="100"/>
      <c r="T26" s="8"/>
    </row>
    <row r="27" spans="1:20" x14ac:dyDescent="0.35">
      <c r="A27" s="344"/>
      <c r="B27" s="342"/>
      <c r="C27" s="342"/>
      <c r="D27" s="342"/>
      <c r="E27" s="342"/>
      <c r="F27" s="342"/>
      <c r="G27" s="342"/>
      <c r="H27" s="342"/>
      <c r="I27" s="342"/>
      <c r="J27" s="342"/>
      <c r="K27" s="100"/>
      <c r="L27" s="100"/>
      <c r="M27" s="100"/>
      <c r="N27" s="100"/>
      <c r="O27" s="100"/>
      <c r="P27" s="100"/>
      <c r="Q27" s="100"/>
      <c r="R27" s="100"/>
      <c r="S27" s="100"/>
      <c r="T27" s="8"/>
    </row>
    <row r="28" spans="1:20" x14ac:dyDescent="0.35">
      <c r="A28" s="344"/>
      <c r="B28" s="342"/>
      <c r="C28" s="342"/>
      <c r="D28" s="342"/>
      <c r="E28" s="342"/>
      <c r="F28" s="342"/>
      <c r="G28" s="342"/>
      <c r="H28" s="342"/>
      <c r="I28" s="342"/>
      <c r="J28" s="342"/>
      <c r="K28" s="100"/>
      <c r="L28" s="100"/>
      <c r="M28" s="100"/>
      <c r="N28" s="100"/>
      <c r="O28" s="100"/>
      <c r="P28" s="100"/>
      <c r="Q28" s="100"/>
      <c r="R28" s="100"/>
      <c r="S28" s="100"/>
      <c r="T28" s="8"/>
    </row>
    <row r="29" spans="1:20" x14ac:dyDescent="0.35">
      <c r="A29" s="344"/>
      <c r="B29" s="342"/>
      <c r="C29" s="342"/>
      <c r="D29" s="342"/>
      <c r="E29" s="342"/>
      <c r="F29" s="342"/>
      <c r="G29" s="342"/>
      <c r="H29" s="342"/>
      <c r="I29" s="342"/>
      <c r="J29" s="342"/>
      <c r="K29" s="100"/>
      <c r="L29" s="100"/>
      <c r="M29" s="100"/>
      <c r="N29" s="100"/>
      <c r="O29" s="100"/>
      <c r="P29" s="100"/>
      <c r="Q29" s="100"/>
      <c r="R29" s="100"/>
      <c r="S29" s="100"/>
      <c r="T29" s="8"/>
    </row>
    <row r="30" spans="1:20" x14ac:dyDescent="0.35">
      <c r="A30" s="344"/>
      <c r="B30" s="342"/>
      <c r="C30" s="342"/>
      <c r="D30" s="342"/>
      <c r="E30" s="342"/>
      <c r="F30" s="342"/>
      <c r="G30" s="342"/>
      <c r="H30" s="342"/>
      <c r="I30" s="342"/>
      <c r="J30" s="342"/>
      <c r="K30" s="100"/>
      <c r="L30" s="100"/>
      <c r="M30" s="100"/>
      <c r="N30" s="100"/>
      <c r="O30" s="100"/>
      <c r="P30" s="100"/>
      <c r="Q30" s="100"/>
      <c r="R30" s="100"/>
      <c r="S30" s="100"/>
      <c r="T30" s="8"/>
    </row>
    <row r="31" spans="1:20" x14ac:dyDescent="0.35">
      <c r="A31" s="344"/>
      <c r="B31" s="342"/>
      <c r="C31" s="342"/>
      <c r="D31" s="342"/>
      <c r="E31" s="342"/>
      <c r="F31" s="342"/>
      <c r="G31" s="342"/>
      <c r="H31" s="342"/>
      <c r="I31" s="342"/>
      <c r="J31" s="342"/>
      <c r="K31" s="100"/>
      <c r="L31" s="100"/>
      <c r="M31" s="100"/>
      <c r="N31" s="100"/>
      <c r="O31" s="100"/>
      <c r="P31" s="100"/>
      <c r="Q31" s="100"/>
      <c r="R31" s="100"/>
      <c r="S31" s="100"/>
      <c r="T31" s="8"/>
    </row>
    <row r="32" spans="1:20" x14ac:dyDescent="0.35">
      <c r="A32" s="344"/>
      <c r="B32" s="342"/>
      <c r="C32" s="342"/>
      <c r="D32" s="342"/>
      <c r="E32" s="342"/>
      <c r="F32" s="342"/>
      <c r="G32" s="342"/>
      <c r="H32" s="342"/>
      <c r="I32" s="342"/>
      <c r="J32" s="342"/>
      <c r="K32" s="100"/>
      <c r="L32" s="100"/>
      <c r="M32" s="100"/>
      <c r="N32" s="100"/>
      <c r="O32" s="100"/>
      <c r="P32" s="100"/>
      <c r="Q32" s="100"/>
      <c r="R32" s="100"/>
      <c r="S32" s="100"/>
      <c r="T32" s="8"/>
    </row>
    <row r="33" spans="1:20" x14ac:dyDescent="0.35">
      <c r="A33" s="344"/>
      <c r="B33" s="342"/>
      <c r="C33" s="342"/>
      <c r="D33" s="342"/>
      <c r="E33" s="342"/>
      <c r="F33" s="342"/>
      <c r="G33" s="342"/>
      <c r="H33" s="342"/>
      <c r="I33" s="342"/>
      <c r="J33" s="342"/>
      <c r="K33" s="100"/>
      <c r="L33" s="100"/>
      <c r="M33" s="100"/>
      <c r="N33" s="100"/>
      <c r="O33" s="100"/>
      <c r="P33" s="100"/>
      <c r="Q33" s="100"/>
      <c r="R33" s="100"/>
      <c r="S33" s="100"/>
      <c r="T33" s="8"/>
    </row>
    <row r="34" spans="1:20" x14ac:dyDescent="0.35">
      <c r="A34" s="344"/>
      <c r="B34" s="342"/>
      <c r="C34" s="342"/>
      <c r="D34" s="342"/>
      <c r="E34" s="342"/>
      <c r="F34" s="342"/>
      <c r="G34" s="342"/>
      <c r="H34" s="342"/>
      <c r="I34" s="342"/>
      <c r="J34" s="342"/>
      <c r="K34" s="100"/>
      <c r="L34" s="100"/>
      <c r="M34" s="100"/>
      <c r="N34" s="100"/>
      <c r="O34" s="100"/>
      <c r="P34" s="100"/>
      <c r="Q34" s="100"/>
      <c r="R34" s="100"/>
      <c r="S34" s="100"/>
      <c r="T34" s="8"/>
    </row>
    <row r="35" spans="1:20" x14ac:dyDescent="0.35">
      <c r="A35" s="344"/>
      <c r="B35" s="342"/>
      <c r="C35" s="342"/>
      <c r="D35" s="342"/>
      <c r="E35" s="342"/>
      <c r="F35" s="342"/>
      <c r="G35" s="342"/>
      <c r="H35" s="342"/>
      <c r="I35" s="342"/>
      <c r="J35" s="342"/>
      <c r="K35" s="100"/>
      <c r="L35" s="100"/>
      <c r="M35" s="100"/>
      <c r="N35" s="100"/>
      <c r="O35" s="100"/>
      <c r="P35" s="100"/>
      <c r="Q35" s="100"/>
      <c r="R35" s="100"/>
      <c r="S35" s="100"/>
      <c r="T35" s="8"/>
    </row>
    <row r="36" spans="1:20" x14ac:dyDescent="0.35">
      <c r="A36" s="344"/>
      <c r="B36" s="342"/>
      <c r="C36" s="342"/>
      <c r="D36" s="342"/>
      <c r="E36" s="342"/>
      <c r="F36" s="342"/>
      <c r="G36" s="342"/>
      <c r="H36" s="342"/>
      <c r="I36" s="342"/>
      <c r="J36" s="342"/>
      <c r="K36" s="100"/>
      <c r="L36" s="100"/>
      <c r="M36" s="100"/>
      <c r="N36" s="100"/>
      <c r="O36" s="100"/>
      <c r="P36" s="100"/>
      <c r="Q36" s="100"/>
      <c r="R36" s="100"/>
      <c r="S36" s="100"/>
      <c r="T36" s="8"/>
    </row>
    <row r="37" spans="1:20" x14ac:dyDescent="0.35">
      <c r="A37" s="344"/>
      <c r="B37" s="342"/>
      <c r="C37" s="342"/>
      <c r="D37" s="342"/>
      <c r="E37" s="342"/>
      <c r="F37" s="342"/>
      <c r="G37" s="342"/>
      <c r="H37" s="342"/>
      <c r="I37" s="342"/>
      <c r="J37" s="342"/>
      <c r="K37" s="100"/>
      <c r="L37" s="100"/>
      <c r="M37" s="100"/>
      <c r="N37" s="100"/>
      <c r="O37" s="100"/>
      <c r="P37" s="100"/>
      <c r="Q37" s="100"/>
      <c r="R37" s="100"/>
      <c r="S37" s="100"/>
      <c r="T37" s="8"/>
    </row>
    <row r="38" spans="1:20" x14ac:dyDescent="0.35">
      <c r="A38" s="344"/>
      <c r="B38" s="342"/>
      <c r="C38" s="342"/>
      <c r="D38" s="342"/>
      <c r="E38" s="342"/>
      <c r="F38" s="342"/>
      <c r="G38" s="342"/>
      <c r="H38" s="342"/>
      <c r="I38" s="342"/>
      <c r="J38" s="342"/>
      <c r="K38" s="100"/>
      <c r="L38" s="100"/>
      <c r="M38" s="100"/>
      <c r="N38" s="100"/>
      <c r="O38" s="100"/>
      <c r="P38" s="100"/>
      <c r="Q38" s="100"/>
      <c r="R38" s="100"/>
      <c r="S38" s="100"/>
      <c r="T38" s="8"/>
    </row>
    <row r="39" spans="1:20" x14ac:dyDescent="0.35">
      <c r="A39" s="344"/>
      <c r="B39" s="342"/>
      <c r="C39" s="342"/>
      <c r="D39" s="342"/>
      <c r="E39" s="342"/>
      <c r="F39" s="342"/>
      <c r="G39" s="342"/>
      <c r="H39" s="342"/>
      <c r="I39" s="342"/>
      <c r="J39" s="342"/>
      <c r="K39" s="100"/>
      <c r="L39" s="100"/>
      <c r="M39" s="100"/>
      <c r="N39" s="100"/>
      <c r="O39" s="100"/>
      <c r="P39" s="100"/>
      <c r="Q39" s="100"/>
      <c r="R39" s="100"/>
      <c r="S39" s="100"/>
      <c r="T39" s="8"/>
    </row>
    <row r="40" spans="1:20" x14ac:dyDescent="0.35">
      <c r="A40" s="344"/>
      <c r="B40" s="342"/>
      <c r="C40" s="342"/>
      <c r="D40" s="342"/>
      <c r="E40" s="342"/>
      <c r="F40" s="342"/>
      <c r="G40" s="342"/>
      <c r="H40" s="342"/>
      <c r="I40" s="342"/>
      <c r="J40" s="342"/>
      <c r="K40" s="100"/>
      <c r="L40" s="100"/>
      <c r="M40" s="100"/>
      <c r="N40" s="100"/>
      <c r="O40" s="100"/>
      <c r="P40" s="100"/>
      <c r="Q40" s="100"/>
      <c r="R40" s="100"/>
      <c r="S40" s="100"/>
      <c r="T40" s="8"/>
    </row>
    <row r="41" spans="1:20" ht="15.5" x14ac:dyDescent="0.35">
      <c r="A41" s="579" t="s">
        <v>33</v>
      </c>
      <c r="B41" s="580"/>
      <c r="C41" s="580"/>
      <c r="D41" s="580"/>
      <c r="E41" s="580"/>
      <c r="F41" s="580"/>
      <c r="G41" s="580"/>
      <c r="H41" s="580"/>
      <c r="I41" s="580"/>
      <c r="J41" s="580"/>
      <c r="K41" s="580"/>
      <c r="L41" s="580"/>
      <c r="M41" s="580"/>
      <c r="N41" s="580"/>
      <c r="O41" s="580"/>
      <c r="P41" s="580"/>
      <c r="Q41" s="580"/>
      <c r="R41" s="580"/>
      <c r="S41" s="580"/>
      <c r="T41" s="581"/>
    </row>
    <row r="42" spans="1:20" ht="48.75" customHeight="1" x14ac:dyDescent="0.35">
      <c r="A42" s="344"/>
      <c r="B42" s="585" t="s">
        <v>34</v>
      </c>
      <c r="C42" s="585"/>
      <c r="D42" s="585"/>
      <c r="E42" s="585"/>
      <c r="F42" s="585"/>
      <c r="G42" s="585"/>
      <c r="H42" s="585"/>
      <c r="I42" s="585"/>
      <c r="J42" s="585"/>
      <c r="K42" s="585"/>
      <c r="L42" s="585"/>
      <c r="M42" s="585"/>
      <c r="N42" s="585"/>
      <c r="O42" s="585"/>
      <c r="P42" s="585"/>
      <c r="Q42" s="585"/>
      <c r="R42" s="585"/>
      <c r="S42" s="585"/>
      <c r="T42" s="8"/>
    </row>
    <row r="43" spans="1:20" ht="14.25" customHeight="1" x14ac:dyDescent="0.35">
      <c r="A43" s="344"/>
      <c r="B43" s="342"/>
      <c r="C43" s="588" t="s">
        <v>35</v>
      </c>
      <c r="D43" s="588"/>
      <c r="E43" s="588"/>
      <c r="F43" s="588"/>
      <c r="G43" s="588"/>
      <c r="H43" s="588"/>
      <c r="I43" s="588"/>
      <c r="J43" s="588"/>
      <c r="K43" s="588"/>
      <c r="L43" s="588"/>
      <c r="M43" s="588"/>
      <c r="N43" s="588"/>
      <c r="O43" s="588"/>
      <c r="P43" s="588"/>
      <c r="Q43" s="588"/>
      <c r="R43" s="588"/>
      <c r="S43" s="588"/>
      <c r="T43" s="8"/>
    </row>
    <row r="44" spans="1:20" s="44" customFormat="1" ht="28.5" customHeight="1" x14ac:dyDescent="0.35">
      <c r="A44" s="341"/>
      <c r="B44" s="587" t="s">
        <v>36</v>
      </c>
      <c r="C44" s="587"/>
      <c r="D44" s="587"/>
      <c r="E44" s="587"/>
      <c r="F44" s="587"/>
      <c r="G44" s="587"/>
      <c r="H44" s="587"/>
      <c r="I44" s="587"/>
      <c r="J44" s="587"/>
      <c r="K44" s="587"/>
      <c r="L44" s="587"/>
      <c r="M44" s="587"/>
      <c r="N44" s="587"/>
      <c r="O44" s="587"/>
      <c r="P44" s="587"/>
      <c r="Q44" s="587"/>
      <c r="R44" s="587"/>
      <c r="S44" s="587"/>
      <c r="T44" s="179"/>
    </row>
    <row r="45" spans="1:20" ht="15" customHeight="1" x14ac:dyDescent="0.35">
      <c r="A45" s="344"/>
      <c r="B45" s="345"/>
      <c r="C45" s="345"/>
      <c r="D45" s="345"/>
      <c r="E45" s="345"/>
      <c r="F45" s="345"/>
      <c r="G45" s="345"/>
      <c r="H45" s="345"/>
      <c r="I45" s="345"/>
      <c r="J45" s="345"/>
      <c r="K45" s="345"/>
      <c r="L45" s="345"/>
      <c r="M45" s="345"/>
      <c r="N45" s="345"/>
      <c r="O45" s="345"/>
      <c r="P45" s="345"/>
      <c r="Q45" s="100"/>
      <c r="R45" s="100"/>
      <c r="S45" s="100"/>
      <c r="T45" s="8"/>
    </row>
    <row r="46" spans="1:20" x14ac:dyDescent="0.35">
      <c r="A46" s="346"/>
      <c r="B46" s="347"/>
      <c r="C46" s="347"/>
      <c r="D46" s="347"/>
      <c r="E46" s="347"/>
      <c r="F46" s="347"/>
      <c r="G46" s="347"/>
      <c r="H46" s="347"/>
      <c r="I46" s="347"/>
      <c r="J46" s="347"/>
      <c r="K46" s="347"/>
      <c r="L46" s="347"/>
      <c r="M46" s="347"/>
      <c r="N46" s="347"/>
      <c r="O46" s="347"/>
      <c r="P46" s="347"/>
      <c r="Q46" s="100"/>
      <c r="R46" s="100"/>
      <c r="S46" s="100"/>
      <c r="T46" s="8"/>
    </row>
    <row r="47" spans="1:20" x14ac:dyDescent="0.35">
      <c r="A47" s="348"/>
      <c r="B47" s="279"/>
      <c r="C47" s="279"/>
      <c r="D47" s="279"/>
      <c r="E47" s="279"/>
      <c r="F47" s="279"/>
      <c r="G47" s="279"/>
      <c r="H47" s="279"/>
      <c r="I47" s="279"/>
      <c r="J47" s="279"/>
      <c r="K47" s="279"/>
      <c r="L47" s="279"/>
      <c r="M47" s="279"/>
      <c r="N47" s="279"/>
      <c r="O47" s="279"/>
      <c r="P47" s="279"/>
      <c r="Q47" s="100"/>
      <c r="R47" s="100"/>
      <c r="S47" s="100"/>
      <c r="T47" s="8"/>
    </row>
    <row r="48" spans="1:20" x14ac:dyDescent="0.35">
      <c r="A48" s="349"/>
      <c r="B48" s="350"/>
      <c r="C48" s="350"/>
      <c r="D48" s="350"/>
      <c r="E48" s="350"/>
      <c r="F48" s="350"/>
      <c r="G48" s="350"/>
      <c r="H48" s="350"/>
      <c r="I48" s="350"/>
      <c r="J48" s="350"/>
      <c r="K48" s="350"/>
      <c r="L48" s="350"/>
      <c r="M48" s="350"/>
      <c r="N48" s="350"/>
      <c r="O48" s="350"/>
      <c r="P48" s="350"/>
      <c r="Q48" s="100"/>
      <c r="R48" s="100"/>
      <c r="S48" s="100"/>
      <c r="T48" s="8"/>
    </row>
    <row r="49" spans="1:20" x14ac:dyDescent="0.35">
      <c r="A49" s="344"/>
      <c r="B49" s="342"/>
      <c r="C49" s="342"/>
      <c r="D49" s="342"/>
      <c r="E49" s="342"/>
      <c r="F49" s="342"/>
      <c r="G49" s="342"/>
      <c r="H49" s="342"/>
      <c r="I49" s="342"/>
      <c r="J49" s="342"/>
      <c r="K49" s="100"/>
      <c r="L49" s="100"/>
      <c r="M49" s="100"/>
      <c r="N49" s="100"/>
      <c r="O49" s="100"/>
      <c r="P49" s="100"/>
      <c r="Q49" s="100"/>
      <c r="R49" s="100"/>
      <c r="S49" s="100"/>
      <c r="T49" s="8"/>
    </row>
    <row r="50" spans="1:20" x14ac:dyDescent="0.35">
      <c r="A50" s="344"/>
      <c r="B50" s="342"/>
      <c r="C50" s="342"/>
      <c r="D50" s="342"/>
      <c r="E50" s="342"/>
      <c r="F50" s="342"/>
      <c r="G50" s="342"/>
      <c r="H50" s="342"/>
      <c r="I50" s="342"/>
      <c r="J50" s="342"/>
      <c r="K50" s="100"/>
      <c r="L50" s="100"/>
      <c r="M50" s="100"/>
      <c r="N50" s="100"/>
      <c r="O50" s="100"/>
      <c r="P50" s="100"/>
      <c r="Q50" s="100"/>
      <c r="R50" s="100"/>
      <c r="S50" s="100"/>
      <c r="T50" s="8"/>
    </row>
    <row r="51" spans="1:20" x14ac:dyDescent="0.35">
      <c r="A51" s="344"/>
      <c r="B51" s="342"/>
      <c r="C51" s="342"/>
      <c r="D51" s="342"/>
      <c r="E51" s="342"/>
      <c r="F51" s="342"/>
      <c r="G51" s="342"/>
      <c r="H51" s="342"/>
      <c r="I51" s="342"/>
      <c r="J51" s="342"/>
      <c r="K51" s="100"/>
      <c r="L51" s="100"/>
      <c r="M51" s="100"/>
      <c r="N51" s="100"/>
      <c r="O51" s="100"/>
      <c r="P51" s="100"/>
      <c r="Q51" s="100"/>
      <c r="R51" s="100"/>
      <c r="S51" s="100"/>
      <c r="T51" s="8"/>
    </row>
    <row r="52" spans="1:20" x14ac:dyDescent="0.35">
      <c r="A52" s="344"/>
      <c r="B52" s="342"/>
      <c r="C52" s="342"/>
      <c r="D52" s="342"/>
      <c r="E52" s="342"/>
      <c r="F52" s="342"/>
      <c r="G52" s="342"/>
      <c r="H52" s="342"/>
      <c r="I52" s="342"/>
      <c r="J52" s="342"/>
      <c r="K52" s="100"/>
      <c r="L52" s="100"/>
      <c r="M52" s="100"/>
      <c r="N52" s="100"/>
      <c r="O52" s="100"/>
      <c r="P52" s="100"/>
      <c r="Q52" s="100"/>
      <c r="R52" s="100"/>
      <c r="S52" s="100"/>
      <c r="T52" s="8"/>
    </row>
    <row r="53" spans="1:20" x14ac:dyDescent="0.35">
      <c r="A53" s="344"/>
      <c r="B53" s="342"/>
      <c r="C53" s="342"/>
      <c r="D53" s="342"/>
      <c r="E53" s="342"/>
      <c r="F53" s="342"/>
      <c r="G53" s="342"/>
      <c r="H53" s="342"/>
      <c r="I53" s="342"/>
      <c r="J53" s="342"/>
      <c r="K53" s="100"/>
      <c r="L53" s="100"/>
      <c r="M53" s="100"/>
      <c r="N53" s="100"/>
      <c r="O53" s="100"/>
      <c r="P53" s="100"/>
      <c r="Q53" s="100"/>
      <c r="R53" s="100"/>
      <c r="S53" s="100"/>
      <c r="T53" s="8"/>
    </row>
    <row r="54" spans="1:20" x14ac:dyDescent="0.35">
      <c r="A54" s="344"/>
      <c r="B54" s="342"/>
      <c r="C54" s="342"/>
      <c r="D54" s="342"/>
      <c r="E54" s="342"/>
      <c r="F54" s="342"/>
      <c r="G54" s="342"/>
      <c r="H54" s="342"/>
      <c r="I54" s="342"/>
      <c r="J54" s="342"/>
      <c r="K54" s="100"/>
      <c r="L54" s="100"/>
      <c r="M54" s="100"/>
      <c r="N54" s="100"/>
      <c r="O54" s="100"/>
      <c r="P54" s="100"/>
      <c r="Q54" s="100"/>
      <c r="R54" s="100"/>
      <c r="S54" s="100"/>
      <c r="T54" s="8"/>
    </row>
    <row r="55" spans="1:20" x14ac:dyDescent="0.35">
      <c r="A55" s="344"/>
      <c r="B55" s="342"/>
      <c r="C55" s="342"/>
      <c r="D55" s="342"/>
      <c r="E55" s="342"/>
      <c r="F55" s="342"/>
      <c r="G55" s="342"/>
      <c r="H55" s="342"/>
      <c r="I55" s="342"/>
      <c r="J55" s="342"/>
      <c r="K55" s="100"/>
      <c r="L55" s="100"/>
      <c r="M55" s="100"/>
      <c r="N55" s="100"/>
      <c r="O55" s="100"/>
      <c r="P55" s="100"/>
      <c r="Q55" s="100"/>
      <c r="R55" s="100"/>
      <c r="S55" s="100"/>
      <c r="T55" s="8"/>
    </row>
    <row r="56" spans="1:20" x14ac:dyDescent="0.35">
      <c r="A56" s="344"/>
      <c r="B56" s="342"/>
      <c r="C56" s="342"/>
      <c r="D56" s="342"/>
      <c r="E56" s="342"/>
      <c r="F56" s="342"/>
      <c r="G56" s="342"/>
      <c r="H56" s="342"/>
      <c r="I56" s="342"/>
      <c r="J56" s="342"/>
      <c r="K56" s="100"/>
      <c r="L56" s="100"/>
      <c r="M56" s="100"/>
      <c r="N56" s="100"/>
      <c r="O56" s="100"/>
      <c r="P56" s="100"/>
      <c r="Q56" s="100"/>
      <c r="R56" s="100"/>
      <c r="S56" s="100"/>
      <c r="T56" s="8"/>
    </row>
    <row r="57" spans="1:20" x14ac:dyDescent="0.35">
      <c r="A57" s="344"/>
      <c r="B57" s="342"/>
      <c r="C57" s="342"/>
      <c r="D57" s="342"/>
      <c r="E57" s="342"/>
      <c r="F57" s="342"/>
      <c r="G57" s="342"/>
      <c r="H57" s="342"/>
      <c r="I57" s="342"/>
      <c r="J57" s="342"/>
      <c r="K57" s="100"/>
      <c r="L57" s="100"/>
      <c r="M57" s="100"/>
      <c r="N57" s="100"/>
      <c r="O57" s="100"/>
      <c r="P57" s="100"/>
      <c r="Q57" s="100"/>
      <c r="R57" s="100"/>
      <c r="S57" s="100"/>
      <c r="T57" s="8"/>
    </row>
    <row r="58" spans="1:20" x14ac:dyDescent="0.35">
      <c r="A58" s="344"/>
      <c r="B58" s="342"/>
      <c r="C58" s="342"/>
      <c r="D58" s="342"/>
      <c r="E58" s="342"/>
      <c r="F58" s="342"/>
      <c r="G58" s="342"/>
      <c r="H58" s="342"/>
      <c r="I58" s="342"/>
      <c r="J58" s="342"/>
      <c r="K58" s="100"/>
      <c r="L58" s="100"/>
      <c r="M58" s="100"/>
      <c r="N58" s="100"/>
      <c r="O58" s="100"/>
      <c r="P58" s="100"/>
      <c r="Q58" s="100"/>
      <c r="R58" s="100"/>
      <c r="S58" s="100"/>
      <c r="T58" s="8"/>
    </row>
    <row r="59" spans="1:20" x14ac:dyDescent="0.35">
      <c r="A59" s="344"/>
      <c r="B59" s="342"/>
      <c r="C59" s="342"/>
      <c r="D59" s="342"/>
      <c r="E59" s="342"/>
      <c r="F59" s="342"/>
      <c r="G59" s="342"/>
      <c r="H59" s="342"/>
      <c r="I59" s="342"/>
      <c r="J59" s="342"/>
      <c r="K59" s="100"/>
      <c r="L59" s="100"/>
      <c r="M59" s="100"/>
      <c r="N59" s="100"/>
      <c r="O59" s="100"/>
      <c r="P59" s="100"/>
      <c r="Q59" s="100"/>
      <c r="R59" s="100"/>
      <c r="S59" s="100"/>
      <c r="T59" s="8"/>
    </row>
    <row r="60" spans="1:20" x14ac:dyDescent="0.35">
      <c r="A60" s="344"/>
      <c r="B60" s="342"/>
      <c r="C60" s="342"/>
      <c r="D60" s="342"/>
      <c r="E60" s="342"/>
      <c r="F60" s="342"/>
      <c r="G60" s="342"/>
      <c r="H60" s="342"/>
      <c r="I60" s="342"/>
      <c r="J60" s="342"/>
      <c r="K60" s="100"/>
      <c r="L60" s="100"/>
      <c r="M60" s="100"/>
      <c r="N60" s="100"/>
      <c r="O60" s="100"/>
      <c r="P60" s="100"/>
      <c r="Q60" s="100"/>
      <c r="R60" s="100"/>
      <c r="S60" s="100"/>
      <c r="T60" s="8"/>
    </row>
    <row r="61" spans="1:20" x14ac:dyDescent="0.35">
      <c r="A61" s="344"/>
      <c r="B61" s="342"/>
      <c r="C61" s="342"/>
      <c r="D61" s="342"/>
      <c r="E61" s="342"/>
      <c r="F61" s="342"/>
      <c r="G61" s="342"/>
      <c r="H61" s="342"/>
      <c r="I61" s="342"/>
      <c r="J61" s="342"/>
      <c r="K61" s="100"/>
      <c r="L61" s="100"/>
      <c r="M61" s="100"/>
      <c r="N61" s="100"/>
      <c r="O61" s="100"/>
      <c r="P61" s="100"/>
      <c r="Q61" s="100"/>
      <c r="R61" s="100"/>
      <c r="S61" s="100"/>
      <c r="T61" s="8"/>
    </row>
    <row r="62" spans="1:20" x14ac:dyDescent="0.35">
      <c r="A62" s="344"/>
      <c r="B62" s="342"/>
      <c r="C62" s="342"/>
      <c r="D62" s="342"/>
      <c r="E62" s="342"/>
      <c r="F62" s="342"/>
      <c r="G62" s="342"/>
      <c r="H62" s="342"/>
      <c r="I62" s="342"/>
      <c r="J62" s="342"/>
      <c r="K62" s="100"/>
      <c r="L62" s="100"/>
      <c r="M62" s="100"/>
      <c r="N62" s="100"/>
      <c r="O62" s="100"/>
      <c r="P62" s="100"/>
      <c r="Q62" s="100"/>
      <c r="R62" s="100"/>
      <c r="S62" s="100"/>
      <c r="T62" s="8"/>
    </row>
    <row r="63" spans="1:20" x14ac:dyDescent="0.35">
      <c r="A63" s="344"/>
      <c r="B63" s="342"/>
      <c r="C63" s="342"/>
      <c r="D63" s="342"/>
      <c r="E63" s="342"/>
      <c r="F63" s="342"/>
      <c r="G63" s="342"/>
      <c r="H63" s="342"/>
      <c r="I63" s="342"/>
      <c r="J63" s="342"/>
      <c r="K63" s="100"/>
      <c r="L63" s="100"/>
      <c r="M63" s="100"/>
      <c r="N63" s="100"/>
      <c r="O63" s="100"/>
      <c r="P63" s="100"/>
      <c r="Q63" s="100"/>
      <c r="R63" s="100"/>
      <c r="S63" s="100"/>
      <c r="T63" s="8"/>
    </row>
    <row r="64" spans="1:20" x14ac:dyDescent="0.35">
      <c r="A64" s="344"/>
      <c r="B64" s="342"/>
      <c r="C64" s="342"/>
      <c r="D64" s="342"/>
      <c r="E64" s="342"/>
      <c r="F64" s="342"/>
      <c r="G64" s="342"/>
      <c r="H64" s="342"/>
      <c r="I64" s="342"/>
      <c r="J64" s="342"/>
      <c r="K64" s="100"/>
      <c r="L64" s="100"/>
      <c r="M64" s="100"/>
      <c r="N64" s="100"/>
      <c r="O64" s="100"/>
      <c r="P64" s="100"/>
      <c r="Q64" s="100"/>
      <c r="R64" s="100"/>
      <c r="S64" s="100"/>
      <c r="T64" s="8"/>
    </row>
    <row r="65" spans="1:20" x14ac:dyDescent="0.35">
      <c r="A65" s="344"/>
      <c r="B65" s="342"/>
      <c r="C65" s="342"/>
      <c r="D65" s="342"/>
      <c r="E65" s="342"/>
      <c r="F65" s="342"/>
      <c r="G65" s="342"/>
      <c r="H65" s="342"/>
      <c r="I65" s="342"/>
      <c r="J65" s="342"/>
      <c r="K65" s="100"/>
      <c r="L65" s="100"/>
      <c r="M65" s="100"/>
      <c r="N65" s="100"/>
      <c r="O65" s="100"/>
      <c r="P65" s="100"/>
      <c r="Q65" s="100"/>
      <c r="R65" s="100"/>
      <c r="S65" s="100"/>
      <c r="T65" s="8"/>
    </row>
    <row r="66" spans="1:20" x14ac:dyDescent="0.35">
      <c r="A66" s="344"/>
      <c r="B66" s="342"/>
      <c r="C66" s="342"/>
      <c r="D66" s="342"/>
      <c r="E66" s="342"/>
      <c r="F66" s="342"/>
      <c r="G66" s="342"/>
      <c r="H66" s="342"/>
      <c r="I66" s="342"/>
      <c r="J66" s="342"/>
      <c r="K66" s="100"/>
      <c r="L66" s="100"/>
      <c r="M66" s="100"/>
      <c r="N66" s="100"/>
      <c r="O66" s="100"/>
      <c r="P66" s="100"/>
      <c r="Q66" s="100"/>
      <c r="R66" s="100"/>
      <c r="S66" s="100"/>
      <c r="T66" s="8"/>
    </row>
    <row r="67" spans="1:20" x14ac:dyDescent="0.35">
      <c r="A67" s="344"/>
      <c r="B67" s="342"/>
      <c r="C67" s="342"/>
      <c r="D67" s="342"/>
      <c r="E67" s="342"/>
      <c r="F67" s="342"/>
      <c r="G67" s="342"/>
      <c r="H67" s="342"/>
      <c r="I67" s="342"/>
      <c r="J67" s="342"/>
      <c r="K67" s="100"/>
      <c r="L67" s="100"/>
      <c r="M67" s="100"/>
      <c r="N67" s="100"/>
      <c r="O67" s="100"/>
      <c r="P67" s="100"/>
      <c r="Q67" s="100"/>
      <c r="R67" s="100"/>
      <c r="S67" s="100"/>
      <c r="T67" s="8"/>
    </row>
    <row r="68" spans="1:20" x14ac:dyDescent="0.35">
      <c r="A68" s="344"/>
      <c r="B68" s="342"/>
      <c r="C68" s="342"/>
      <c r="D68" s="342"/>
      <c r="E68" s="342"/>
      <c r="F68" s="342"/>
      <c r="G68" s="342"/>
      <c r="H68" s="342"/>
      <c r="I68" s="342"/>
      <c r="J68" s="342"/>
      <c r="K68" s="100"/>
      <c r="L68" s="100"/>
      <c r="M68" s="100"/>
      <c r="N68" s="100"/>
      <c r="O68" s="100"/>
      <c r="P68" s="100"/>
      <c r="Q68" s="100"/>
      <c r="R68" s="100"/>
      <c r="S68" s="100"/>
      <c r="T68" s="8"/>
    </row>
    <row r="69" spans="1:20" ht="15.5" x14ac:dyDescent="0.35">
      <c r="A69" s="579" t="s">
        <v>37</v>
      </c>
      <c r="B69" s="580"/>
      <c r="C69" s="580"/>
      <c r="D69" s="580"/>
      <c r="E69" s="580"/>
      <c r="F69" s="580"/>
      <c r="G69" s="580"/>
      <c r="H69" s="580"/>
      <c r="I69" s="580"/>
      <c r="J69" s="580"/>
      <c r="K69" s="580"/>
      <c r="L69" s="580"/>
      <c r="M69" s="580"/>
      <c r="N69" s="580"/>
      <c r="O69" s="580"/>
      <c r="P69" s="580"/>
      <c r="Q69" s="580"/>
      <c r="R69" s="580"/>
      <c r="S69" s="580"/>
      <c r="T69" s="581"/>
    </row>
    <row r="70" spans="1:20" ht="26.25" customHeight="1" x14ac:dyDescent="0.35">
      <c r="A70" s="344"/>
      <c r="B70" s="582" t="s">
        <v>38</v>
      </c>
      <c r="C70" s="582"/>
      <c r="D70" s="582"/>
      <c r="E70" s="582"/>
      <c r="F70" s="582"/>
      <c r="G70" s="582"/>
      <c r="H70" s="582"/>
      <c r="I70" s="582"/>
      <c r="J70" s="582"/>
      <c r="K70" s="582"/>
      <c r="L70" s="582"/>
      <c r="M70" s="582"/>
      <c r="N70" s="582"/>
      <c r="O70" s="582"/>
      <c r="P70" s="582"/>
      <c r="Q70" s="582"/>
      <c r="R70" s="582"/>
      <c r="S70" s="582"/>
      <c r="T70" s="8"/>
    </row>
    <row r="71" spans="1:20" ht="15.5" x14ac:dyDescent="0.35">
      <c r="A71" s="579" t="s">
        <v>39</v>
      </c>
      <c r="B71" s="580"/>
      <c r="C71" s="580"/>
      <c r="D71" s="580"/>
      <c r="E71" s="580"/>
      <c r="F71" s="580"/>
      <c r="G71" s="580"/>
      <c r="H71" s="580"/>
      <c r="I71" s="580"/>
      <c r="J71" s="580"/>
      <c r="K71" s="580"/>
      <c r="L71" s="580"/>
      <c r="M71" s="580"/>
      <c r="N71" s="580"/>
      <c r="O71" s="580"/>
      <c r="P71" s="580"/>
      <c r="Q71" s="580"/>
      <c r="R71" s="580"/>
      <c r="S71" s="580"/>
      <c r="T71" s="581"/>
    </row>
    <row r="72" spans="1:20" ht="29.25" customHeight="1" x14ac:dyDescent="0.35">
      <c r="A72" s="344"/>
      <c r="B72" s="585" t="s">
        <v>40</v>
      </c>
      <c r="C72" s="585"/>
      <c r="D72" s="585"/>
      <c r="E72" s="585"/>
      <c r="F72" s="585"/>
      <c r="G72" s="585"/>
      <c r="H72" s="585"/>
      <c r="I72" s="585"/>
      <c r="J72" s="585"/>
      <c r="K72" s="585"/>
      <c r="L72" s="585"/>
      <c r="M72" s="585"/>
      <c r="N72" s="585"/>
      <c r="O72" s="585"/>
      <c r="P72" s="585"/>
      <c r="Q72" s="585"/>
      <c r="R72" s="585"/>
      <c r="S72" s="585"/>
      <c r="T72" s="8"/>
    </row>
    <row r="73" spans="1:20" ht="15.5" x14ac:dyDescent="0.35">
      <c r="A73" s="579" t="s">
        <v>41</v>
      </c>
      <c r="B73" s="580"/>
      <c r="C73" s="580"/>
      <c r="D73" s="580"/>
      <c r="E73" s="580"/>
      <c r="F73" s="580"/>
      <c r="G73" s="580"/>
      <c r="H73" s="580"/>
      <c r="I73" s="580"/>
      <c r="J73" s="580"/>
      <c r="K73" s="580"/>
      <c r="L73" s="580"/>
      <c r="M73" s="580"/>
      <c r="N73" s="580"/>
      <c r="O73" s="580"/>
      <c r="P73" s="580"/>
      <c r="Q73" s="580"/>
      <c r="R73" s="580"/>
      <c r="S73" s="580"/>
      <c r="T73" s="581"/>
    </row>
    <row r="74" spans="1:20" ht="33.75" customHeight="1" x14ac:dyDescent="0.35">
      <c r="A74" s="344"/>
      <c r="B74" s="586" t="s">
        <v>42</v>
      </c>
      <c r="C74" s="586"/>
      <c r="D74" s="586"/>
      <c r="E74" s="586"/>
      <c r="F74" s="586"/>
      <c r="G74" s="586"/>
      <c r="H74" s="586"/>
      <c r="I74" s="586"/>
      <c r="J74" s="586"/>
      <c r="K74" s="586"/>
      <c r="L74" s="586"/>
      <c r="M74" s="586"/>
      <c r="N74" s="586"/>
      <c r="O74" s="586"/>
      <c r="P74" s="586"/>
      <c r="Q74" s="586"/>
      <c r="R74" s="586"/>
      <c r="S74" s="586"/>
      <c r="T74" s="8"/>
    </row>
    <row r="75" spans="1:20" ht="15.5" x14ac:dyDescent="0.35">
      <c r="A75" s="579" t="s">
        <v>43</v>
      </c>
      <c r="B75" s="580"/>
      <c r="C75" s="580"/>
      <c r="D75" s="580"/>
      <c r="E75" s="580"/>
      <c r="F75" s="580"/>
      <c r="G75" s="580"/>
      <c r="H75" s="580"/>
      <c r="I75" s="580"/>
      <c r="J75" s="580"/>
      <c r="K75" s="580"/>
      <c r="L75" s="580"/>
      <c r="M75" s="580"/>
      <c r="N75" s="580"/>
      <c r="O75" s="580"/>
      <c r="P75" s="580"/>
      <c r="Q75" s="580"/>
      <c r="R75" s="580"/>
      <c r="S75" s="580"/>
      <c r="T75" s="581"/>
    </row>
    <row r="76" spans="1:20" ht="36.75" customHeight="1" x14ac:dyDescent="0.35">
      <c r="A76" s="344"/>
      <c r="B76" s="582" t="s">
        <v>44</v>
      </c>
      <c r="C76" s="582"/>
      <c r="D76" s="582"/>
      <c r="E76" s="582"/>
      <c r="F76" s="582"/>
      <c r="G76" s="582"/>
      <c r="H76" s="582"/>
      <c r="I76" s="582"/>
      <c r="J76" s="582"/>
      <c r="K76" s="582"/>
      <c r="L76" s="582"/>
      <c r="M76" s="582"/>
      <c r="N76" s="582"/>
      <c r="O76" s="582"/>
      <c r="P76" s="582"/>
      <c r="Q76" s="582"/>
      <c r="R76" s="582"/>
      <c r="S76" s="582"/>
      <c r="T76" s="8"/>
    </row>
    <row r="77" spans="1:20" ht="15.5" x14ac:dyDescent="0.35">
      <c r="A77" s="579" t="s">
        <v>45</v>
      </c>
      <c r="B77" s="580"/>
      <c r="C77" s="580"/>
      <c r="D77" s="580"/>
      <c r="E77" s="580"/>
      <c r="F77" s="580"/>
      <c r="G77" s="580"/>
      <c r="H77" s="580"/>
      <c r="I77" s="580"/>
      <c r="J77" s="580"/>
      <c r="K77" s="580"/>
      <c r="L77" s="580"/>
      <c r="M77" s="580"/>
      <c r="N77" s="580"/>
      <c r="O77" s="580"/>
      <c r="P77" s="580"/>
      <c r="Q77" s="580"/>
      <c r="R77" s="580"/>
      <c r="S77" s="580"/>
      <c r="T77" s="581"/>
    </row>
    <row r="78" spans="1:20" s="44" customFormat="1" ht="55.5" customHeight="1" x14ac:dyDescent="0.35">
      <c r="A78" s="344"/>
      <c r="B78" s="582" t="s">
        <v>46</v>
      </c>
      <c r="C78" s="582"/>
      <c r="D78" s="582"/>
      <c r="E78" s="582"/>
      <c r="F78" s="582"/>
      <c r="G78" s="582"/>
      <c r="H78" s="582"/>
      <c r="I78" s="582"/>
      <c r="J78" s="582"/>
      <c r="K78" s="582"/>
      <c r="L78" s="582"/>
      <c r="M78" s="582"/>
      <c r="N78" s="582"/>
      <c r="O78" s="582"/>
      <c r="P78" s="582"/>
      <c r="Q78" s="582"/>
      <c r="R78" s="582"/>
      <c r="S78" s="582"/>
      <c r="T78" s="8"/>
    </row>
    <row r="79" spans="1:20" ht="15.5" x14ac:dyDescent="0.35">
      <c r="A79" s="579" t="s">
        <v>47</v>
      </c>
      <c r="B79" s="580"/>
      <c r="C79" s="580"/>
      <c r="D79" s="580"/>
      <c r="E79" s="580"/>
      <c r="F79" s="580"/>
      <c r="G79" s="580"/>
      <c r="H79" s="580"/>
      <c r="I79" s="580"/>
      <c r="J79" s="580"/>
      <c r="K79" s="580"/>
      <c r="L79" s="580"/>
      <c r="M79" s="580"/>
      <c r="N79" s="580"/>
      <c r="O79" s="580"/>
      <c r="P79" s="580"/>
      <c r="Q79" s="580"/>
      <c r="R79" s="580"/>
      <c r="S79" s="580"/>
      <c r="T79" s="581"/>
    </row>
    <row r="80" spans="1:20" s="44" customFormat="1" ht="21.75" customHeight="1" x14ac:dyDescent="0.35">
      <c r="A80" s="344"/>
      <c r="B80" s="582" t="s">
        <v>48</v>
      </c>
      <c r="C80" s="582"/>
      <c r="D80" s="582"/>
      <c r="E80" s="582"/>
      <c r="F80" s="582"/>
      <c r="G80" s="582"/>
      <c r="H80" s="582"/>
      <c r="I80" s="582"/>
      <c r="J80" s="582"/>
      <c r="K80" s="582"/>
      <c r="L80" s="582"/>
      <c r="M80" s="582"/>
      <c r="N80" s="582"/>
      <c r="O80" s="582"/>
      <c r="P80" s="582"/>
      <c r="Q80" s="582"/>
      <c r="R80" s="582"/>
      <c r="S80" s="582"/>
      <c r="T80" s="8"/>
    </row>
    <row r="81" spans="1:20" ht="15.5" x14ac:dyDescent="0.35">
      <c r="A81" s="579" t="s">
        <v>49</v>
      </c>
      <c r="B81" s="580"/>
      <c r="C81" s="580"/>
      <c r="D81" s="580"/>
      <c r="E81" s="580"/>
      <c r="F81" s="580"/>
      <c r="G81" s="580"/>
      <c r="H81" s="580"/>
      <c r="I81" s="580"/>
      <c r="J81" s="580"/>
      <c r="K81" s="580"/>
      <c r="L81" s="580"/>
      <c r="M81" s="580"/>
      <c r="N81" s="580"/>
      <c r="O81" s="580"/>
      <c r="P81" s="580"/>
      <c r="Q81" s="580"/>
      <c r="R81" s="580"/>
      <c r="S81" s="580"/>
      <c r="T81" s="581"/>
    </row>
    <row r="82" spans="1:20" ht="48.75" customHeight="1" x14ac:dyDescent="0.35">
      <c r="A82" s="348"/>
      <c r="B82" s="582" t="s">
        <v>44</v>
      </c>
      <c r="C82" s="582"/>
      <c r="D82" s="582"/>
      <c r="E82" s="582"/>
      <c r="F82" s="582"/>
      <c r="G82" s="582"/>
      <c r="H82" s="582"/>
      <c r="I82" s="582"/>
      <c r="J82" s="582"/>
      <c r="K82" s="582"/>
      <c r="L82" s="582"/>
      <c r="M82" s="582"/>
      <c r="N82" s="582"/>
      <c r="O82" s="582"/>
      <c r="P82" s="582"/>
      <c r="Q82" s="582"/>
      <c r="R82" s="582"/>
      <c r="S82" s="582"/>
      <c r="T82" s="179"/>
    </row>
    <row r="83" spans="1:20" ht="15.5" x14ac:dyDescent="0.35">
      <c r="A83" s="579" t="s">
        <v>50</v>
      </c>
      <c r="B83" s="580"/>
      <c r="C83" s="580"/>
      <c r="D83" s="580"/>
      <c r="E83" s="580"/>
      <c r="F83" s="580"/>
      <c r="G83" s="580"/>
      <c r="H83" s="580"/>
      <c r="I83" s="580"/>
      <c r="J83" s="580"/>
      <c r="K83" s="580"/>
      <c r="L83" s="580"/>
      <c r="M83" s="580"/>
      <c r="N83" s="580"/>
      <c r="O83" s="580"/>
      <c r="P83" s="580"/>
      <c r="Q83" s="580"/>
      <c r="R83" s="580"/>
      <c r="S83" s="580"/>
      <c r="T83" s="581"/>
    </row>
    <row r="84" spans="1:20" x14ac:dyDescent="0.35">
      <c r="A84" s="344"/>
      <c r="B84" s="585" t="s">
        <v>51</v>
      </c>
      <c r="C84" s="585"/>
      <c r="D84" s="585"/>
      <c r="E84" s="585"/>
      <c r="F84" s="585"/>
      <c r="G84" s="585"/>
      <c r="H84" s="585"/>
      <c r="I84" s="585"/>
      <c r="J84" s="585"/>
      <c r="K84" s="585"/>
      <c r="L84" s="585"/>
      <c r="M84" s="585"/>
      <c r="N84" s="585"/>
      <c r="O84" s="585"/>
      <c r="P84" s="585"/>
      <c r="Q84" s="585"/>
      <c r="R84" s="585"/>
      <c r="S84" s="585"/>
      <c r="T84" s="8"/>
    </row>
    <row r="85" spans="1:20" x14ac:dyDescent="0.35">
      <c r="A85" s="351"/>
      <c r="B85" s="352"/>
      <c r="C85" s="352"/>
      <c r="D85" s="352"/>
      <c r="E85" s="352"/>
      <c r="F85" s="352"/>
      <c r="G85" s="352"/>
      <c r="H85" s="352"/>
      <c r="I85" s="352"/>
      <c r="J85" s="352"/>
      <c r="K85" s="10"/>
      <c r="L85" s="10"/>
      <c r="M85" s="10"/>
      <c r="N85" s="10"/>
      <c r="O85" s="10"/>
      <c r="P85" s="10"/>
      <c r="Q85" s="10"/>
      <c r="R85" s="10"/>
      <c r="S85" s="10"/>
      <c r="T85" s="11"/>
    </row>
  </sheetData>
  <sheetProtection algorithmName="SHA-512" hashValue="48hRvWcTvuiqYwzHwuqOLPbTpqJvA2/1nFcGc9HqFVImioKxYoK+ppO26zkOadwwLIYcF8t70+7op1gB9+RGuQ==" saltValue="xzUbaVxA3pmIe5mMhizt8w==" spinCount="100000" sheet="1" objects="1" scenarios="1"/>
  <mergeCells count="35">
    <mergeCell ref="A2:T2"/>
    <mergeCell ref="B3:S3"/>
    <mergeCell ref="A1:T1"/>
    <mergeCell ref="C8:S8"/>
    <mergeCell ref="C7:S7"/>
    <mergeCell ref="B6:S6"/>
    <mergeCell ref="A5:T5"/>
    <mergeCell ref="B82:S82"/>
    <mergeCell ref="B84:S84"/>
    <mergeCell ref="B16:S16"/>
    <mergeCell ref="B74:S74"/>
    <mergeCell ref="A73:T73"/>
    <mergeCell ref="A75:T75"/>
    <mergeCell ref="A79:T79"/>
    <mergeCell ref="A81:T81"/>
    <mergeCell ref="A83:T83"/>
    <mergeCell ref="B76:S76"/>
    <mergeCell ref="B80:S80"/>
    <mergeCell ref="B44:S44"/>
    <mergeCell ref="B72:S72"/>
    <mergeCell ref="A71:T71"/>
    <mergeCell ref="C43:S43"/>
    <mergeCell ref="B42:S42"/>
    <mergeCell ref="C11:S11"/>
    <mergeCell ref="C10:S10"/>
    <mergeCell ref="C9:S9"/>
    <mergeCell ref="A41:T41"/>
    <mergeCell ref="B15:S15"/>
    <mergeCell ref="B14:S14"/>
    <mergeCell ref="C13:S13"/>
    <mergeCell ref="A69:T69"/>
    <mergeCell ref="B70:S70"/>
    <mergeCell ref="A77:T77"/>
    <mergeCell ref="B78:S78"/>
    <mergeCell ref="C12:S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Z94"/>
  <sheetViews>
    <sheetView zoomScale="90" zoomScaleNormal="90" zoomScaleSheetLayoutView="40" workbookViewId="0">
      <selection activeCell="D4" sqref="D4"/>
    </sheetView>
  </sheetViews>
  <sheetFormatPr defaultColWidth="8.81640625" defaultRowHeight="14.5" x14ac:dyDescent="0.35"/>
  <cols>
    <col min="1" max="1" width="2.26953125" style="17" customWidth="1"/>
    <col min="2" max="2" width="6.81640625" style="16" customWidth="1"/>
    <col min="3" max="3" width="36.453125" style="17" customWidth="1"/>
    <col min="4" max="4" width="13.81640625" style="16" customWidth="1"/>
    <col min="5" max="5" width="18.1796875" style="17" customWidth="1"/>
    <col min="6" max="6" width="19.26953125" style="17" customWidth="1"/>
    <col min="7" max="7" width="19.1796875" style="17" customWidth="1"/>
    <col min="8" max="8" width="27.1796875" style="17" customWidth="1"/>
    <col min="9" max="9" width="20.7265625" style="17" customWidth="1"/>
    <col min="10" max="10" width="18.81640625" style="17" customWidth="1"/>
    <col min="11" max="11" width="5.1796875" style="17" customWidth="1"/>
    <col min="12" max="12" width="34.7265625" style="17" customWidth="1"/>
    <col min="13" max="13" width="17.26953125" style="17" customWidth="1"/>
    <col min="14" max="14" width="17.453125" style="17" customWidth="1"/>
    <col min="15" max="15" width="18.453125" style="17" customWidth="1"/>
    <col min="16" max="16" width="31.81640625" style="17" customWidth="1"/>
    <col min="17" max="17" width="22.54296875" style="17" customWidth="1"/>
    <col min="18" max="21" width="8.81640625" style="17"/>
    <col min="22" max="22" width="110.54296875" style="17" customWidth="1"/>
    <col min="23" max="16384" width="8.81640625" style="17"/>
  </cols>
  <sheetData>
    <row r="1" spans="1:17" ht="15" thickBot="1" x14ac:dyDescent="0.4"/>
    <row r="2" spans="1:17" s="19" customFormat="1" ht="38.25" customHeight="1" thickBot="1" x14ac:dyDescent="0.4">
      <c r="B2" s="27"/>
      <c r="C2" s="85" t="s">
        <v>52</v>
      </c>
      <c r="D2" s="633" t="s">
        <v>14</v>
      </c>
      <c r="E2" s="634"/>
      <c r="H2" s="615" t="s">
        <v>53</v>
      </c>
      <c r="I2" s="616"/>
      <c r="L2" s="613" t="s">
        <v>54</v>
      </c>
      <c r="M2" s="614"/>
    </row>
    <row r="3" spans="1:17" s="19" customFormat="1" ht="37.5" customHeight="1" x14ac:dyDescent="0.35">
      <c r="B3" s="27"/>
      <c r="C3" s="82" t="s">
        <v>55</v>
      </c>
      <c r="D3" s="83" t="s">
        <v>56</v>
      </c>
      <c r="E3" s="90" t="s">
        <v>57</v>
      </c>
      <c r="H3" s="305" t="s">
        <v>58</v>
      </c>
      <c r="I3" s="90" t="s">
        <v>59</v>
      </c>
      <c r="L3" s="82" t="s">
        <v>60</v>
      </c>
      <c r="M3" s="84" t="s">
        <v>61</v>
      </c>
    </row>
    <row r="4" spans="1:17" s="19" customFormat="1" ht="37.5" thickBot="1" x14ac:dyDescent="0.4">
      <c r="B4" s="27"/>
      <c r="C4" s="574" t="s">
        <v>298</v>
      </c>
      <c r="D4" s="575" t="s">
        <v>354</v>
      </c>
      <c r="E4" s="576">
        <v>0.99</v>
      </c>
      <c r="H4" s="574">
        <v>1000</v>
      </c>
      <c r="I4" s="577">
        <v>10</v>
      </c>
      <c r="L4" s="574" t="s">
        <v>64</v>
      </c>
      <c r="M4" s="576">
        <v>0.99</v>
      </c>
    </row>
    <row r="5" spans="1:17" s="19" customFormat="1" ht="21" x14ac:dyDescent="0.35">
      <c r="A5" s="50"/>
      <c r="B5" s="27"/>
      <c r="E5" s="29"/>
      <c r="F5" s="29"/>
      <c r="G5" s="635"/>
      <c r="H5" s="635"/>
      <c r="I5" s="560"/>
      <c r="J5" s="560"/>
      <c r="O5" s="76"/>
      <c r="P5" s="73"/>
      <c r="Q5" s="51"/>
    </row>
    <row r="6" spans="1:17" s="19" customFormat="1" ht="21" x14ac:dyDescent="0.35">
      <c r="B6" s="27"/>
      <c r="C6" s="51" t="s">
        <v>65</v>
      </c>
      <c r="D6" s="27"/>
      <c r="E6" s="29"/>
      <c r="F6" s="29"/>
      <c r="G6" s="29"/>
      <c r="H6" s="29"/>
      <c r="I6" s="29"/>
      <c r="J6" s="29"/>
      <c r="L6" s="51" t="s">
        <v>54</v>
      </c>
      <c r="M6" s="17"/>
      <c r="N6" s="17"/>
      <c r="O6" s="76"/>
      <c r="P6" s="73"/>
      <c r="Q6" s="17"/>
    </row>
    <row r="7" spans="1:17" ht="21.5" thickBot="1" x14ac:dyDescent="0.4">
      <c r="C7" s="18" t="s">
        <v>66</v>
      </c>
      <c r="G7" s="229"/>
      <c r="H7" s="229"/>
      <c r="I7" s="230"/>
      <c r="J7" s="105"/>
      <c r="L7" s="18" t="s">
        <v>66</v>
      </c>
      <c r="O7" s="76"/>
      <c r="P7" s="73"/>
    </row>
    <row r="8" spans="1:17" ht="26" x14ac:dyDescent="0.35">
      <c r="C8" s="624" t="s">
        <v>67</v>
      </c>
      <c r="D8" s="619" t="s">
        <v>68</v>
      </c>
      <c r="E8" s="555" t="s">
        <v>69</v>
      </c>
      <c r="F8" s="555" t="s">
        <v>70</v>
      </c>
      <c r="G8" s="482" t="s">
        <v>71</v>
      </c>
      <c r="H8" s="555" t="s">
        <v>72</v>
      </c>
      <c r="I8" s="482" t="s">
        <v>73</v>
      </c>
      <c r="J8" s="104" t="s">
        <v>74</v>
      </c>
      <c r="L8" s="624" t="s">
        <v>67</v>
      </c>
      <c r="M8" s="640" t="s">
        <v>68</v>
      </c>
      <c r="N8" s="555" t="s">
        <v>75</v>
      </c>
      <c r="O8" s="555" t="s">
        <v>76</v>
      </c>
      <c r="P8" s="555" t="s">
        <v>77</v>
      </c>
      <c r="Q8" s="104" t="s">
        <v>78</v>
      </c>
    </row>
    <row r="9" spans="1:17" ht="36.75" customHeight="1" thickBot="1" x14ac:dyDescent="0.4">
      <c r="C9" s="625"/>
      <c r="D9" s="620"/>
      <c r="E9" s="556" t="s">
        <v>79</v>
      </c>
      <c r="F9" s="556" t="s">
        <v>80</v>
      </c>
      <c r="G9" s="483" t="s">
        <v>81</v>
      </c>
      <c r="H9" s="556" t="s">
        <v>82</v>
      </c>
      <c r="I9" s="483" t="s">
        <v>83</v>
      </c>
      <c r="J9" s="197" t="s">
        <v>84</v>
      </c>
      <c r="L9" s="625"/>
      <c r="M9" s="641"/>
      <c r="N9" s="556" t="s">
        <v>85</v>
      </c>
      <c r="O9" s="556" t="s">
        <v>86</v>
      </c>
      <c r="P9" s="556" t="s">
        <v>87</v>
      </c>
      <c r="Q9" s="197" t="s">
        <v>87</v>
      </c>
    </row>
    <row r="10" spans="1:17" x14ac:dyDescent="0.35">
      <c r="C10" s="86" t="s">
        <v>88</v>
      </c>
      <c r="D10" s="637" t="s">
        <v>89</v>
      </c>
      <c r="E10" s="333">
        <f>IF(SUMIFS('Inhalation Exposure'!$H:$H,'Inhalation Exposure'!$C:$C,$C$4,'Inhalation Exposure'!$D:$D,$C10,'Inhalation Exposure'!$V:$V,$D$4)=0,"",SUMIFS('Inhalation Exposure'!$H:$H,'Inhalation Exposure'!$C:$C,$C$4,'Inhalation Exposure'!$D:$D,$C10,'Inhalation Exposure'!$V:$V,$D$4))</f>
        <v>2.7501686002651389</v>
      </c>
      <c r="F10" s="333">
        <f>IF(SUMIFS('Inhalation Exposure'!$J:$J,'Inhalation Exposure'!$C:$C,$C$4,'Inhalation Exposure'!$D:$D,$C10,'Inhalation Exposure'!$V:$V,$D$4)=0,"",SUMIFS('Inhalation Exposure'!$J:$J,'Inhalation Exposure'!$C:$C,$C$4,'Inhalation Exposure'!$D:$D,$C10,'Inhalation Exposure'!$V:$V,$D$4))</f>
        <v>0.91672286675504633</v>
      </c>
      <c r="G10" s="484">
        <f>SUMIFS('Inhalation Exposure'!$L:$L,'Inhalation Exposure'!$C:$C,$C$4,'Inhalation Exposure'!$D:$D,$C10,'Inhalation Exposure'!$V:$V,$D$4)</f>
        <v>2.7501686002651389</v>
      </c>
      <c r="H10" s="333">
        <f>IF(SUMIFS('Inhalation Exposure'!$N:$N,'Inhalation Exposure'!$C:$C,$C$4,'Inhalation Exposure'!$D:$D,$C10,'Inhalation Exposure'!$V:$V,$D$4)=0,"",SUMIFS('Inhalation Exposure'!$N:$N,'Inhalation Exposure'!$C:$C,$C$4,'Inhalation Exposure'!$D:$D,$C10,'Inhalation Exposure'!$V:$V,$D$4))</f>
        <v>0.64949719365001934</v>
      </c>
      <c r="I10" s="484">
        <f>SUMIFS('Inhalation Exposure'!$P:$P,'Inhalation Exposure'!$C:$C,$C$4,'Inhalation Exposure'!$D:$D,$C10,'Inhalation Exposure'!$V:$V,$D$4)</f>
        <v>1.948491580950058</v>
      </c>
      <c r="J10" s="334">
        <f>SUMIFS('Inhalation Exposure'!$R:$R,'Inhalation Exposure'!$C:$C,$C$4,'Inhalation Exposure'!$D:$D,$C10,'Inhalation Exposure'!$V:$V,$D$4)</f>
        <v>0.26301095178578932</v>
      </c>
      <c r="L10" s="643" t="s">
        <v>90</v>
      </c>
      <c r="M10" s="141" t="s">
        <v>89</v>
      </c>
      <c r="N10" s="102">
        <f>'Dermal Exposure'!N5</f>
        <v>289.43946348387897</v>
      </c>
      <c r="O10" s="102">
        <f>'Dermal Exposure'!O5</f>
        <v>3.6179932935484871</v>
      </c>
      <c r="P10" s="102">
        <f>'Dermal Exposure'!P5</f>
        <v>2.9043069452320736</v>
      </c>
      <c r="Q10" s="155">
        <f>'Dermal Exposure'!Q5</f>
        <v>1.4893881770420889</v>
      </c>
    </row>
    <row r="11" spans="1:17" x14ac:dyDescent="0.35">
      <c r="C11" s="564" t="s">
        <v>91</v>
      </c>
      <c r="D11" s="638"/>
      <c r="E11" s="335">
        <f>SUMIFS('Inhalation Exposure'!$H:$H,'Inhalation Exposure'!$C:$C,$C$4,'Inhalation Exposure'!$D:$D,$C11,'Inhalation Exposure'!$V:$V,$D$4)</f>
        <v>1.7437270257186532</v>
      </c>
      <c r="F11" s="335">
        <f>SUMIFS('Inhalation Exposure'!$J:$J,'Inhalation Exposure'!$C:$C,$C$4,'Inhalation Exposure'!$D:$D,$C11,'Inhalation Exposure'!$V:$V,$D$4)</f>
        <v>0.58124234190621771</v>
      </c>
      <c r="G11" s="485">
        <f>SUMIFS('Inhalation Exposure'!$L:$L,'Inhalation Exposure'!$C:$C,$C$4,'Inhalation Exposure'!$D:$D,$C11,'Inhalation Exposure'!$V:$V,$D$4)</f>
        <v>1.7437270257186532</v>
      </c>
      <c r="H11" s="335">
        <f>SUMIFS('Inhalation Exposure'!$N:$N,'Inhalation Exposure'!$C:$C,$C$4,'Inhalation Exposure'!$D:$D,$C11,'Inhalation Exposure'!$V:$V,$D$4)</f>
        <v>0.41077423537054469</v>
      </c>
      <c r="I11" s="485">
        <f>SUMIFS('Inhalation Exposure'!$P:$P,'Inhalation Exposure'!$C:$C,$C$4,'Inhalation Exposure'!$D:$D,$C11,'Inhalation Exposure'!$V:$V,$D$4)</f>
        <v>1.2323227061116342</v>
      </c>
      <c r="J11" s="336">
        <f>SUMIFS('Inhalation Exposure'!$R:$R,'Inhalation Exposure'!$C:$C,$C$4,'Inhalation Exposure'!$D:$D,$C11,'Inhalation Exposure'!$V:$V,$D$4)</f>
        <v>0.16302580206824938</v>
      </c>
      <c r="L11" s="644"/>
      <c r="M11" s="154" t="s">
        <v>92</v>
      </c>
      <c r="N11" s="103">
        <f>'Dermal Exposure'!N6</f>
        <v>96.479821161292989</v>
      </c>
      <c r="O11" s="103">
        <f>'Dermal Exposure'!O6</f>
        <v>1.2059977645161624</v>
      </c>
      <c r="P11" s="103">
        <f>'Dermal Exposure'!P6</f>
        <v>0.85245869382238326</v>
      </c>
      <c r="Q11" s="156">
        <f>'Dermal Exposure'!Q6</f>
        <v>0.33879768600633181</v>
      </c>
    </row>
    <row r="12" spans="1:17" ht="15" customHeight="1" x14ac:dyDescent="0.35">
      <c r="C12" s="564" t="s">
        <v>88</v>
      </c>
      <c r="D12" s="638" t="s">
        <v>92</v>
      </c>
      <c r="E12" s="335">
        <f>SUMIFS('Inhalation Exposure'!$I:$I,'Inhalation Exposure'!$C:$C,$C$4,'Inhalation Exposure'!$D:$D,$C12,'Inhalation Exposure'!$V:$V,$D$4)</f>
        <v>0.96207902477632934</v>
      </c>
      <c r="F12" s="335">
        <f>SUMIFS('Inhalation Exposure'!$K:$K,'Inhalation Exposure'!$C:$C,$C$4,'Inhalation Exposure'!$D:$D,$C12,'Inhalation Exposure'!$V:$V,$D$4)</f>
        <v>0.32069300825877645</v>
      </c>
      <c r="G12" s="485">
        <f>SUMIFS('Inhalation Exposure'!$M:$M,'Inhalation Exposure'!$C:$C,$C$4,'Inhalation Exposure'!$D:$D,$C12,'Inhalation Exposure'!$V:$V,$D$4)</f>
        <v>0.96207902477632934</v>
      </c>
      <c r="H12" s="335">
        <f>SUMIFS('Inhalation Exposure'!$O:$O,'Inhalation Exposure'!$C:$C,$C$4,'Inhalation Exposure'!$D:$D,$C12,'Inhalation Exposure'!$V:$V,$D$4)</f>
        <v>0.22627163919987608</v>
      </c>
      <c r="I12" s="485">
        <f>SUMIFS('Inhalation Exposure'!$Q:$Q,'Inhalation Exposure'!$C:$C,$C$4,'Inhalation Exposure'!$D:$D,$C12,'Inhalation Exposure'!$V:$V,$D$4)</f>
        <v>0.6788149175996282</v>
      </c>
      <c r="J12" s="336">
        <f>SUMIFS('Inhalation Exposure'!$S:$S,'Inhalation Exposure'!$C:$C,$C$4,'Inhalation Exposure'!$D:$D,$C12,'Inhalation Exposure'!$V:$V,$D$4)</f>
        <v>8.4181628744240788E-2</v>
      </c>
      <c r="L12" s="642" t="str">
        <f>_xlfn.CONCAT("Worker with Gloves; 
PF = ",I4)</f>
        <v>Worker with Gloves; 
PF = 10</v>
      </c>
      <c r="M12" s="154" t="s">
        <v>89</v>
      </c>
      <c r="N12" s="103">
        <f t="shared" ref="N12:Q13" si="0">N10/$I$4</f>
        <v>28.943946348387897</v>
      </c>
      <c r="O12" s="103">
        <f t="shared" si="0"/>
        <v>0.36179932935484871</v>
      </c>
      <c r="P12" s="103">
        <f t="shared" si="0"/>
        <v>0.29043069452320736</v>
      </c>
      <c r="Q12" s="156">
        <f t="shared" si="0"/>
        <v>0.14893881770420889</v>
      </c>
    </row>
    <row r="13" spans="1:17" ht="15" thickBot="1" x14ac:dyDescent="0.4">
      <c r="C13" s="367" t="s">
        <v>91</v>
      </c>
      <c r="D13" s="639"/>
      <c r="E13" s="337">
        <f>SUMIFS('Inhalation Exposure'!$I:$I,'Inhalation Exposure'!$C:$C,$C$4,'Inhalation Exposure'!$D:$D,$C13,'Inhalation Exposure'!$V:$V,$D$4)</f>
        <v>0.47937392347468338</v>
      </c>
      <c r="F13" s="337">
        <f>SUMIFS('Inhalation Exposure'!$K:$K,'Inhalation Exposure'!$C:$C,$C$4,'Inhalation Exposure'!$D:$D,$C13,'Inhalation Exposure'!$V:$V,$D$4)</f>
        <v>0.15979130782489445</v>
      </c>
      <c r="G13" s="486">
        <f>SUMIFS('Inhalation Exposure'!$M:$M,'Inhalation Exposure'!$C:$C,$C$4,'Inhalation Exposure'!$D:$D,$C13,'Inhalation Exposure'!$V:$V,$D$4)</f>
        <v>0.47937392347468338</v>
      </c>
      <c r="H13" s="337">
        <f>SUMIFS('Inhalation Exposure'!$O:$O,'Inhalation Exposure'!$C:$C,$C$4,'Inhalation Exposure'!$D:$D,$C13,'Inhalation Exposure'!$V:$V,$D$4)</f>
        <v>0.11280556843108118</v>
      </c>
      <c r="I13" s="486">
        <f>SUMIFS('Inhalation Exposure'!$Q:$Q,'Inhalation Exposure'!$C:$C,$C$4,'Inhalation Exposure'!$D:$D,$C13,'Inhalation Exposure'!$V:$V,$D$4)</f>
        <v>0.33841670529324358</v>
      </c>
      <c r="J13" s="338">
        <f>SUMIFS('Inhalation Exposure'!$S:$S,'Inhalation Exposure'!$C:$C,$C$4,'Inhalation Exposure'!$D:$D,$C13,'Inhalation Exposure'!$V:$V,$D$4)</f>
        <v>4.2340613418723437E-2</v>
      </c>
      <c r="L13" s="642"/>
      <c r="M13" s="154" t="s">
        <v>92</v>
      </c>
      <c r="N13" s="103">
        <f t="shared" si="0"/>
        <v>9.6479821161292989</v>
      </c>
      <c r="O13" s="103">
        <f t="shared" si="0"/>
        <v>0.12059977645161624</v>
      </c>
      <c r="P13" s="103">
        <f t="shared" si="0"/>
        <v>8.5245869382238326E-2</v>
      </c>
      <c r="Q13" s="156">
        <f t="shared" si="0"/>
        <v>3.387976860063318E-2</v>
      </c>
    </row>
    <row r="14" spans="1:17" s="19" customFormat="1" x14ac:dyDescent="0.35">
      <c r="B14" s="27"/>
      <c r="C14" s="26"/>
      <c r="D14" s="554"/>
      <c r="E14" s="29"/>
      <c r="G14" s="554"/>
      <c r="H14" s="554"/>
      <c r="I14" s="554"/>
      <c r="J14" s="554"/>
      <c r="L14" s="26"/>
      <c r="M14" s="554"/>
      <c r="N14" s="29"/>
      <c r="P14" s="554"/>
    </row>
    <row r="15" spans="1:17" s="19" customFormat="1" ht="36" customHeight="1" thickBot="1" x14ac:dyDescent="0.4">
      <c r="B15" s="27"/>
      <c r="C15" s="28" t="s">
        <v>93</v>
      </c>
      <c r="D15" s="554"/>
      <c r="E15" s="29"/>
      <c r="G15" s="554"/>
      <c r="L15" s="646" t="s">
        <v>94</v>
      </c>
      <c r="M15" s="646"/>
      <c r="N15" s="646"/>
      <c r="O15" s="647"/>
    </row>
    <row r="16" spans="1:17" s="19" customFormat="1" ht="15" customHeight="1" x14ac:dyDescent="0.35">
      <c r="B16" s="27"/>
      <c r="C16" s="626" t="s">
        <v>95</v>
      </c>
      <c r="D16" s="619" t="s">
        <v>96</v>
      </c>
      <c r="E16" s="621" t="s">
        <v>68</v>
      </c>
      <c r="F16" s="617" t="s">
        <v>97</v>
      </c>
      <c r="G16" s="619" t="s">
        <v>98</v>
      </c>
      <c r="H16" s="619"/>
      <c r="I16" s="596" t="str">
        <f>_xlfn.CONCAT("Respirator Scenario: APF of ",$H$4)</f>
        <v>Respirator Scenario: APF of 1000</v>
      </c>
      <c r="J16" s="597"/>
      <c r="L16" s="626" t="s">
        <v>95</v>
      </c>
      <c r="M16" s="619" t="s">
        <v>99</v>
      </c>
      <c r="N16" s="621" t="s">
        <v>68</v>
      </c>
      <c r="O16" s="617" t="s">
        <v>97</v>
      </c>
      <c r="P16" s="555" t="s">
        <v>98</v>
      </c>
      <c r="Q16" s="551" t="s">
        <v>100</v>
      </c>
    </row>
    <row r="17" spans="2:18" s="19" customFormat="1" ht="51.75" customHeight="1" thickBot="1" x14ac:dyDescent="0.4">
      <c r="B17" s="27"/>
      <c r="C17" s="645"/>
      <c r="D17" s="620"/>
      <c r="E17" s="622"/>
      <c r="F17" s="629"/>
      <c r="G17" s="556" t="s">
        <v>101</v>
      </c>
      <c r="H17" s="556" t="s">
        <v>102</v>
      </c>
      <c r="I17" s="556" t="s">
        <v>101</v>
      </c>
      <c r="J17" s="197" t="s">
        <v>102</v>
      </c>
      <c r="L17" s="630"/>
      <c r="M17" s="631"/>
      <c r="N17" s="622"/>
      <c r="O17" s="629"/>
      <c r="P17" s="556" t="s">
        <v>103</v>
      </c>
      <c r="Q17" s="497" t="str">
        <f>_xlfn.CONCAT("Worker MOE with Gloves: ",$I$4)</f>
        <v>Worker MOE with Gloves: 10</v>
      </c>
    </row>
    <row r="18" spans="2:18" s="19" customFormat="1" ht="22.5" customHeight="1" thickBot="1" x14ac:dyDescent="0.4">
      <c r="B18" s="612" t="s">
        <v>104</v>
      </c>
      <c r="C18" s="632" t="s">
        <v>105</v>
      </c>
      <c r="D18" s="598">
        <f>IF(AND(ISNUMBER(VLOOKUP(B18,'Health Data'!$F$6:$H$25,2,FALSE)),$E$4=0.5),SUMIFS('Health Data'!$G$6:$G$25,'Health Data'!$F$6:$F$25,Dashboard!B18),IF(ISNUMBER(VLOOKUP(B18,'Health Data'!$F$6:$H$25,3,FALSE)),SUMIFS('Health Data'!$H$6:$H$25,'Health Data'!$F$6:$F$25,Dashboard!B18),SUMIFS('Health Data'!$G$6:$G$25,'Health Data'!$F$6:$F$25,Dashboard!B18)))</f>
        <v>3.7000000000000002E-3</v>
      </c>
      <c r="E18" s="139" t="s">
        <v>89</v>
      </c>
      <c r="F18" s="301">
        <f>VLOOKUP(B18,'Health Data'!$F$6:$K$25,6,FALSE)</f>
        <v>10</v>
      </c>
      <c r="G18" s="69">
        <f>IFERROR(D18/$F$10, "")</f>
        <v>4.0361161853603696E-3</v>
      </c>
      <c r="H18" s="69">
        <f>IFERROR(D18/$F$11, "")</f>
        <v>6.3656752669904214E-3</v>
      </c>
      <c r="I18" s="92">
        <f>IFERROR(D18/($F$10/$H$4),"")</f>
        <v>4.0361161853603695</v>
      </c>
      <c r="J18" s="93">
        <f>IFERROR(D18/($F$11/$H$4),"")</f>
        <v>6.3656752669904213</v>
      </c>
      <c r="L18" s="632" t="s">
        <v>105</v>
      </c>
      <c r="M18" s="598">
        <f>IF(AND(ISNUMBER(VLOOKUP(B18,'Health Data'!$F$6:$J$25,4,FALSE)),$M$4=0.5),SUMIFS('Health Data'!$I$6:$I$25,'Health Data'!$F$6:$F$25,Dashboard!B18),IF(ISNUMBER(VLOOKUP(B18,'Health Data'!$F$6:$J$25,5,FALSE)),SUMIFS('Health Data'!$J$6:$J$25,'Health Data'!$F$6:$F$25,Dashboard!B18),"N/A"))</f>
        <v>5.1999999999999998E-3</v>
      </c>
      <c r="N18" s="141" t="s">
        <v>89</v>
      </c>
      <c r="O18" s="301">
        <f>VLOOKUP(B18,'Health Data'!$F$6:$K$25,6,FALSE)</f>
        <v>10</v>
      </c>
      <c r="P18" s="69">
        <f>IFERROR(M18/$O$10, "")</f>
        <v>1.4372608178330531E-3</v>
      </c>
      <c r="Q18" s="69">
        <f>IFERROR(M18/$O$12, "")</f>
        <v>1.4372608178330531E-2</v>
      </c>
    </row>
    <row r="19" spans="2:18" s="19" customFormat="1" ht="21.75" customHeight="1" thickBot="1" x14ac:dyDescent="0.4">
      <c r="B19" s="612"/>
      <c r="C19" s="602"/>
      <c r="D19" s="599"/>
      <c r="E19" s="140" t="s">
        <v>106</v>
      </c>
      <c r="F19" s="302">
        <f>VLOOKUP(B18,'Health Data'!$F$6:$K$25,6,FALSE)</f>
        <v>10</v>
      </c>
      <c r="G19" s="286">
        <f>IFERROR(D18/$F$12, "")</f>
        <v>1.1537513773965297E-2</v>
      </c>
      <c r="H19" s="69">
        <f>IFERROR(D18/$F$13, "")</f>
        <v>2.3155201934103978E-2</v>
      </c>
      <c r="I19" s="285">
        <f>IFERROR(D18/($F$12/$H$4),"")</f>
        <v>11.537513773965298</v>
      </c>
      <c r="J19" s="300">
        <f>IFERROR(D18/($F$13/$H$4),"")</f>
        <v>23.155201934103978</v>
      </c>
      <c r="L19" s="602"/>
      <c r="M19" s="599"/>
      <c r="N19" s="140" t="s">
        <v>106</v>
      </c>
      <c r="O19" s="302">
        <f>VLOOKUP(B18,'Health Data'!$F$6:$K$25,6,FALSE)</f>
        <v>10</v>
      </c>
      <c r="P19" s="286">
        <f>IFERROR(M18/$O$11,"")</f>
        <v>4.3117824534991593E-3</v>
      </c>
      <c r="Q19" s="286">
        <f>IFERROR(M18/$O$13,"")</f>
        <v>4.3117824534991592E-2</v>
      </c>
    </row>
    <row r="20" spans="2:18" s="19" customFormat="1" ht="24" customHeight="1" x14ac:dyDescent="0.35">
      <c r="B20" s="612" t="s">
        <v>107</v>
      </c>
      <c r="C20" s="601" t="s">
        <v>108</v>
      </c>
      <c r="D20" s="598">
        <f>IF(AND(ISNUMBER(VLOOKUP(B20,'Health Data'!$F$6:$H$25,2,FALSE)),$E$4=0.5),SUMIFS('Health Data'!$G$6:$G$25,'Health Data'!$F$6:$F$25,Dashboard!B20),IF(ISNUMBER(VLOOKUP(B20,'Health Data'!$F$6:$H$25,3,FALSE)),SUMIFS('Health Data'!$H$6:$H$25,'Health Data'!$F$6:$F$25,Dashboard!B20),SUMIFS('Health Data'!$G$6:$G$25,'Health Data'!$F$6:$F$25,Dashboard!B20)))</f>
        <v>3</v>
      </c>
      <c r="E20" s="141" t="s">
        <v>89</v>
      </c>
      <c r="F20" s="301">
        <f>VLOOKUP(B20,'Health Data'!$F$6:$K$25,6,FALSE)</f>
        <v>100</v>
      </c>
      <c r="G20" s="69">
        <f>IFERROR(D20/$F$10, "")</f>
        <v>3.2725266367786783</v>
      </c>
      <c r="H20" s="69">
        <f>IFERROR(D20/$F$11, "")</f>
        <v>5.1613583245868275</v>
      </c>
      <c r="I20" s="92">
        <f t="shared" ref="I20" si="1">IFERROR(D20/($F$10/$H$4),"")</f>
        <v>3272.526636778678</v>
      </c>
      <c r="J20" s="93">
        <f t="shared" ref="J20" si="2">IFERROR(D20/($F$11/$H$4),"")</f>
        <v>5161.3583245868285</v>
      </c>
      <c r="L20" s="601" t="s">
        <v>108</v>
      </c>
      <c r="M20" s="598">
        <f>IF(AND(ISNUMBER(VLOOKUP(B20,'Health Data'!$F$6:$J$25,4,FALSE)),$M$4=0.5),SUMIFS('Health Data'!$I$6:$I$25,'Health Data'!$F$6:$F$25,Dashboard!B20),IF(ISNUMBER(VLOOKUP(B20,'Health Data'!$F$6:$J$25,5,FALSE)),SUMIFS('Health Data'!$J$6:$J$25,'Health Data'!$F$6:$F$25,Dashboard!B20),"N/A"))</f>
        <v>4.0999999999999996</v>
      </c>
      <c r="N20" s="141" t="s">
        <v>89</v>
      </c>
      <c r="O20" s="301">
        <f>VLOOKUP(B20,'Health Data'!$F$6:$K$25,6,FALSE)</f>
        <v>100</v>
      </c>
      <c r="P20" s="69">
        <f>IFERROR(M20/$O$10, "")</f>
        <v>1.1332248755991379</v>
      </c>
      <c r="Q20" s="69">
        <f>IFERROR(M20/$O$12, "")</f>
        <v>11.33224875599138</v>
      </c>
    </row>
    <row r="21" spans="2:18" s="19" customFormat="1" ht="18.75" customHeight="1" thickBot="1" x14ac:dyDescent="0.4">
      <c r="B21" s="612"/>
      <c r="C21" s="602"/>
      <c r="D21" s="599"/>
      <c r="E21" s="140" t="s">
        <v>106</v>
      </c>
      <c r="F21" s="302">
        <f>VLOOKUP(B20,'Health Data'!$F$6:$K$25,6,FALSE)</f>
        <v>100</v>
      </c>
      <c r="G21" s="298">
        <f>IFERROR(D20/$F$12, "")</f>
        <v>9.3547408978097</v>
      </c>
      <c r="H21" s="298">
        <f>IFERROR(D20/$F$13, "")</f>
        <v>18.774488054678901</v>
      </c>
      <c r="I21" s="285">
        <f t="shared" ref="I21" si="3">IFERROR(D20/($F$12/$H$4),"")</f>
        <v>9354.7408978096992</v>
      </c>
      <c r="J21" s="300">
        <f t="shared" ref="J21" si="4">IFERROR(D20/($F$13/$H$4),"")</f>
        <v>18774.488054678899</v>
      </c>
      <c r="L21" s="602"/>
      <c r="M21" s="599"/>
      <c r="N21" s="140" t="s">
        <v>106</v>
      </c>
      <c r="O21" s="302">
        <f>VLOOKUP(B20,'Health Data'!$F$6:$K$25,6,FALSE)</f>
        <v>100</v>
      </c>
      <c r="P21" s="298">
        <f>IFERROR(M20/$O$11,"")</f>
        <v>3.3996746267974136</v>
      </c>
      <c r="Q21" s="298">
        <f>IFERROR(M20/$O$13,"")</f>
        <v>33.996746267974139</v>
      </c>
    </row>
    <row r="22" spans="2:18" s="19" customFormat="1" ht="23.25" customHeight="1" x14ac:dyDescent="0.35">
      <c r="B22" s="612" t="s">
        <v>109</v>
      </c>
      <c r="C22" s="601" t="s">
        <v>110</v>
      </c>
      <c r="D22" s="598">
        <f>IF(AND(ISNUMBER(VLOOKUP(B22,'Health Data'!$F$6:$H$25,2,FALSE)),$E$4=0.5),SUMIFS('Health Data'!$G$6:$G$25,'Health Data'!$F$6:$F$25,Dashboard!B22),IF(ISNUMBER(VLOOKUP(B22,'Health Data'!$F$6:$H$25,3,FALSE)),SUMIFS('Health Data'!$H$6:$H$25,'Health Data'!$F$6:$F$25,Dashboard!B22),SUMIFS('Health Data'!$G$6:$G$25,'Health Data'!$F$6:$F$25,Dashboard!B22)))</f>
        <v>23</v>
      </c>
      <c r="E22" s="141" t="s">
        <v>89</v>
      </c>
      <c r="F22" s="301">
        <f>VLOOKUP(B22,'Health Data'!$F$6:$K$25,6,FALSE)</f>
        <v>10</v>
      </c>
      <c r="G22" s="87">
        <f>IFERROR(D22/$F$10, "")</f>
        <v>25.089370881969867</v>
      </c>
      <c r="H22" s="87">
        <f>IFERROR(D22/$F$11, "")</f>
        <v>39.570413821832346</v>
      </c>
      <c r="I22" s="92">
        <f t="shared" ref="I22" si="5">IFERROR(D22/($F$10/$H$4),"")</f>
        <v>25089.370881969866</v>
      </c>
      <c r="J22" s="93">
        <f t="shared" ref="J22" si="6">IFERROR(D22/($F$11/$H$4),"")</f>
        <v>39570.41382183235</v>
      </c>
      <c r="L22" s="601" t="s">
        <v>110</v>
      </c>
      <c r="M22" s="598">
        <f>IF(AND(ISNUMBER(VLOOKUP(B22,'Health Data'!$F$6:$J$25,4,FALSE)),$M$4=0.5),SUMIFS('Health Data'!$I$6:$I$25,'Health Data'!$F$6:$F$25,Dashboard!B22),IF(ISNUMBER(VLOOKUP(B22,'Health Data'!$F$6:$J$25,5,FALSE)),SUMIFS('Health Data'!$J$6:$J$25,'Health Data'!$F$6:$F$25,Dashboard!B22),"N/A"))</f>
        <v>28</v>
      </c>
      <c r="N22" s="141" t="s">
        <v>89</v>
      </c>
      <c r="O22" s="301">
        <f>VLOOKUP(B22,'Health Data'!$F$6:$K$25,6,FALSE)</f>
        <v>10</v>
      </c>
      <c r="P22" s="87">
        <f>IFERROR(M22/$O$10, "")</f>
        <v>7.7390967114087479</v>
      </c>
      <c r="Q22" s="87">
        <f>IFERROR(M22/$O$12, "")</f>
        <v>77.390967114087474</v>
      </c>
    </row>
    <row r="23" spans="2:18" s="19" customFormat="1" ht="24" customHeight="1" thickBot="1" x14ac:dyDescent="0.4">
      <c r="B23" s="612"/>
      <c r="C23" s="602"/>
      <c r="D23" s="599"/>
      <c r="E23" s="140" t="s">
        <v>106</v>
      </c>
      <c r="F23" s="302">
        <f>VLOOKUP(B22,'Health Data'!$F$6:$K$25,6,FALSE)</f>
        <v>10</v>
      </c>
      <c r="G23" s="70">
        <f>IFERROR(D22/$F$12, "")</f>
        <v>71.719680216541036</v>
      </c>
      <c r="H23" s="70">
        <f>IFERROR(D22/$F$13, "")</f>
        <v>143.93774175253824</v>
      </c>
      <c r="I23" s="285">
        <f>IFERROR(D22/($F$12/$H$4),"")</f>
        <v>71719.680216541034</v>
      </c>
      <c r="J23" s="300">
        <f t="shared" ref="J23" si="7">IFERROR(D22/($F$13/$H$4),"")</f>
        <v>143937.74175253825</v>
      </c>
      <c r="L23" s="602"/>
      <c r="M23" s="599"/>
      <c r="N23" s="140" t="s">
        <v>106</v>
      </c>
      <c r="O23" s="302">
        <f>VLOOKUP(B22,'Health Data'!$F$6:$K$25,6,FALSE)</f>
        <v>10</v>
      </c>
      <c r="P23" s="286">
        <f>IFERROR(M22/$O$11,"")</f>
        <v>23.217290134226243</v>
      </c>
      <c r="Q23" s="286">
        <f>IFERROR(M22/$O$13,"")</f>
        <v>232.17290134226243</v>
      </c>
    </row>
    <row r="24" spans="2:18" s="19" customFormat="1" ht="19.5" customHeight="1" x14ac:dyDescent="0.35">
      <c r="B24" s="612" t="s">
        <v>111</v>
      </c>
      <c r="C24" s="601" t="s">
        <v>112</v>
      </c>
      <c r="D24" s="598">
        <f>IF(AND(ISNUMBER(VLOOKUP(B24,'Health Data'!$F$6:$H$25,2,FALSE)),$E$4=0.5),SUMIFS('Health Data'!$G$6:$G$25,'Health Data'!$F$6:$F$25,Dashboard!B24),IF(ISNUMBER(VLOOKUP(B24,'Health Data'!$F$6:$H$25,3,FALSE)),SUMIFS('Health Data'!$H$6:$H$25,'Health Data'!$F$6:$F$25,Dashboard!B24),SUMIFS('Health Data'!$G$6:$G$25,'Health Data'!$F$6:$F$25,Dashboard!B24)))</f>
        <v>0.97299999999999998</v>
      </c>
      <c r="E24" s="141" t="s">
        <v>89</v>
      </c>
      <c r="F24" s="301">
        <f>VLOOKUP(B24,'Health Data'!$F$6:$K$25,6,FALSE)</f>
        <v>10</v>
      </c>
      <c r="G24" s="87">
        <f>IFERROR(D24/$F$10, "")</f>
        <v>1.0613894725285513</v>
      </c>
      <c r="H24" s="87">
        <f>IFERROR(D24/$F$11, "")</f>
        <v>1.6740005499409945</v>
      </c>
      <c r="I24" s="92">
        <f t="shared" ref="I24" si="8">IFERROR(D24/($F$10/$H$4),"")</f>
        <v>1061.3894725285513</v>
      </c>
      <c r="J24" s="93">
        <f t="shared" ref="J24" si="9">IFERROR(D24/($F$11/$H$4),"")</f>
        <v>1674.0005499409945</v>
      </c>
      <c r="L24" s="601" t="s">
        <v>112</v>
      </c>
      <c r="M24" s="598">
        <f>IF(AND(ISNUMBER(VLOOKUP(B24,'Health Data'!$F$6:$J$25,4,FALSE)),$M$4=0.5),SUMIFS('Health Data'!$I$6:$I$25,'Health Data'!$F$6:$F$25,Dashboard!B24),IF(ISNUMBER(VLOOKUP(B24,'Health Data'!$F$6:$J$25,5,FALSE)),SUMIFS('Health Data'!$J$6:$J$25,'Health Data'!$F$6:$F$25,Dashboard!B24),"N/A"))</f>
        <v>1.34</v>
      </c>
      <c r="N24" s="141" t="s">
        <v>89</v>
      </c>
      <c r="O24" s="301">
        <f>VLOOKUP(B24,'Health Data'!$F$6:$K$25,6,FALSE)</f>
        <v>10</v>
      </c>
      <c r="P24" s="69">
        <f>IFERROR(M24/$O$10, "")</f>
        <v>0.37037105690313293</v>
      </c>
      <c r="Q24" s="69">
        <f>IFERROR(M24/$O$12, "")</f>
        <v>3.7037105690313292</v>
      </c>
    </row>
    <row r="25" spans="2:18" s="19" customFormat="1" ht="21.75" customHeight="1" thickBot="1" x14ac:dyDescent="0.4">
      <c r="B25" s="612"/>
      <c r="C25" s="602"/>
      <c r="D25" s="599"/>
      <c r="E25" s="140" t="s">
        <v>106</v>
      </c>
      <c r="F25" s="302">
        <f>VLOOKUP(B24,'Health Data'!$F$6:$K$25,6,FALSE)</f>
        <v>10</v>
      </c>
      <c r="G25" s="298">
        <f>IFERROR(D24/$F$12, "")</f>
        <v>3.0340542978562794</v>
      </c>
      <c r="H25" s="298">
        <f>IFERROR(D24/$F$13, "")</f>
        <v>6.0891922924008561</v>
      </c>
      <c r="I25" s="329">
        <f t="shared" ref="I25" si="10">IFERROR(D24/($F$12/$H$4),"")</f>
        <v>3034.0542978562794</v>
      </c>
      <c r="J25" s="174">
        <f t="shared" ref="J25" si="11">IFERROR(D24/($F$13/$H$4),"")</f>
        <v>6089.1922924008568</v>
      </c>
      <c r="L25" s="602"/>
      <c r="M25" s="599"/>
      <c r="N25" s="140" t="s">
        <v>106</v>
      </c>
      <c r="O25" s="302">
        <f>VLOOKUP(B24,'Health Data'!$F$6:$K$25,6,FALSE)</f>
        <v>10</v>
      </c>
      <c r="P25" s="298">
        <f>IFERROR(M24/$O$11,"")</f>
        <v>1.1111131707093989</v>
      </c>
      <c r="Q25" s="298">
        <f>IFERROR(M24/$O$13,"")</f>
        <v>11.111131707093989</v>
      </c>
    </row>
    <row r="26" spans="2:18" s="19" customFormat="1" ht="21.75" customHeight="1" x14ac:dyDescent="0.35">
      <c r="B26" s="609" t="s">
        <v>113</v>
      </c>
      <c r="C26" s="607" t="s">
        <v>114</v>
      </c>
      <c r="D26" s="610">
        <f>IF(AND(ISNUMBER(FIND("12",C4)),$E$4=0.5),'Health Data'!G11,IF(AND(ISNUMBER(FIND("12",C4)),$E$4=0.99),'Health Data'!H11,IF(AND(ISERROR(FIND("12",C4)),$E$4=0.5),'Health Data'!G10,IF(AND(ISERROR(FIND("12",C4)),$E$4=0.99),'Health Data'!H10))))</f>
        <v>2.34</v>
      </c>
      <c r="E26" s="487" t="s">
        <v>89</v>
      </c>
      <c r="F26" s="488">
        <f>'Health Data'!K11</f>
        <v>10</v>
      </c>
      <c r="G26" s="87">
        <f>IFERROR(D26/$G$10, "")</f>
        <v>0.85085692556245629</v>
      </c>
      <c r="H26" s="87">
        <f>IFERROR(D26/$G$11, "")</f>
        <v>1.3419531643925751</v>
      </c>
      <c r="I26" s="92">
        <f>IFERROR(D26/($G$10/$H$4),"")</f>
        <v>850.85692556245635</v>
      </c>
      <c r="J26" s="93">
        <f>IFERROR(D26/($G$11/$H$4),"")</f>
        <v>1341.9531643925752</v>
      </c>
      <c r="L26" s="601" t="s">
        <v>114</v>
      </c>
      <c r="M26" s="598">
        <f>IF(AND(ISNUMBER(FIND("12",C4)),$M$4=0.5),'Health Data'!I11,IF(AND(ISNUMBER(FIND("12",C4)),$M$4=0.99),'Health Data'!J11,IF(AND(ISERROR(FIND("12",C4)),$M$4=0.5),'Health Data'!I10,IF(AND(ISERROR(FIND("12",C4)),$M$4=0.99),'Health Data'!J10))))</f>
        <v>1.34</v>
      </c>
      <c r="N26" s="141" t="s">
        <v>89</v>
      </c>
      <c r="O26" s="488">
        <f>'Health Data'!K11</f>
        <v>10</v>
      </c>
      <c r="P26" s="69">
        <f>IFERROR(M26/$O$10, "")</f>
        <v>0.37037105690313293</v>
      </c>
      <c r="Q26" s="69">
        <f>IFERROR(M26/$O$12, "")</f>
        <v>3.7037105690313292</v>
      </c>
    </row>
    <row r="27" spans="2:18" s="19" customFormat="1" ht="21.75" customHeight="1" thickBot="1" x14ac:dyDescent="0.4">
      <c r="B27" s="609"/>
      <c r="C27" s="608"/>
      <c r="D27" s="611"/>
      <c r="E27" s="489" t="s">
        <v>106</v>
      </c>
      <c r="F27" s="490">
        <f>'Health Data'!K11</f>
        <v>10</v>
      </c>
      <c r="G27" s="298">
        <f>IFERROR(D26/$G$12, "")</f>
        <v>2.4322326334305218</v>
      </c>
      <c r="H27" s="298">
        <f>IFERROR(D26/$G$13, "")</f>
        <v>4.8813668942165132</v>
      </c>
      <c r="I27" s="329">
        <f>IFERROR(D26/($G$12/$H$4),"")</f>
        <v>2432.2326334305221</v>
      </c>
      <c r="J27" s="174">
        <f>IFERROR(D26/($G$13/$H$4),"")</f>
        <v>4881.3668942165132</v>
      </c>
      <c r="L27" s="602"/>
      <c r="M27" s="599"/>
      <c r="N27" s="140" t="s">
        <v>106</v>
      </c>
      <c r="O27" s="490">
        <f>'Health Data'!K11</f>
        <v>10</v>
      </c>
      <c r="P27" s="298">
        <f>IFERROR(M26/$O$11,"")</f>
        <v>1.1111131707093989</v>
      </c>
      <c r="Q27" s="298">
        <f>IFERROR(M26/$O$13,"")</f>
        <v>11.111131707093989</v>
      </c>
    </row>
    <row r="28" spans="2:18" s="19" customFormat="1" ht="19.5" customHeight="1" x14ac:dyDescent="0.35">
      <c r="B28" s="612"/>
      <c r="C28" s="565"/>
      <c r="D28" s="17"/>
      <c r="E28" s="42"/>
      <c r="F28" s="74"/>
      <c r="G28" s="65"/>
      <c r="H28" s="65"/>
      <c r="L28" s="565"/>
      <c r="M28" s="17"/>
      <c r="N28" s="119"/>
      <c r="O28" s="74"/>
      <c r="P28" s="17"/>
      <c r="Q28" s="17"/>
    </row>
    <row r="29" spans="2:18" s="19" customFormat="1" ht="24" customHeight="1" thickBot="1" x14ac:dyDescent="0.4">
      <c r="B29" s="612"/>
      <c r="C29" s="66" t="s">
        <v>115</v>
      </c>
      <c r="D29" s="66"/>
      <c r="E29" s="323"/>
      <c r="F29" s="67"/>
      <c r="G29" s="67"/>
      <c r="H29" s="67"/>
      <c r="I29" s="67"/>
      <c r="J29" s="67"/>
      <c r="L29" s="66" t="s">
        <v>116</v>
      </c>
      <c r="M29" s="66"/>
      <c r="N29" s="136"/>
      <c r="O29" s="67"/>
      <c r="P29" s="118"/>
      <c r="Q29" s="118"/>
    </row>
    <row r="30" spans="2:18" s="19" customFormat="1" ht="15" customHeight="1" x14ac:dyDescent="0.35">
      <c r="B30" s="609"/>
      <c r="C30" s="636" t="s">
        <v>95</v>
      </c>
      <c r="D30" s="619" t="s">
        <v>96</v>
      </c>
      <c r="E30" s="621" t="s">
        <v>68</v>
      </c>
      <c r="F30" s="617" t="s">
        <v>97</v>
      </c>
      <c r="G30" s="619" t="s">
        <v>117</v>
      </c>
      <c r="H30" s="619"/>
      <c r="I30" s="596" t="str">
        <f>_xlfn.CONCAT("Respirator Scenario: APF of ",$H$4)</f>
        <v>Respirator Scenario: APF of 1000</v>
      </c>
      <c r="J30" s="597"/>
      <c r="K30" s="43"/>
      <c r="L30" s="626" t="s">
        <v>95</v>
      </c>
      <c r="M30" s="619" t="s">
        <v>118</v>
      </c>
      <c r="N30" s="621" t="s">
        <v>68</v>
      </c>
      <c r="O30" s="617" t="s">
        <v>97</v>
      </c>
      <c r="P30" s="555" t="s">
        <v>117</v>
      </c>
      <c r="Q30" s="552" t="s">
        <v>100</v>
      </c>
      <c r="R30" s="65"/>
    </row>
    <row r="31" spans="2:18" s="19" customFormat="1" ht="39.75" customHeight="1" thickBot="1" x14ac:dyDescent="0.4">
      <c r="B31" s="609"/>
      <c r="C31" s="627"/>
      <c r="D31" s="620"/>
      <c r="E31" s="622"/>
      <c r="F31" s="618"/>
      <c r="G31" s="556" t="s">
        <v>101</v>
      </c>
      <c r="H31" s="556" t="s">
        <v>102</v>
      </c>
      <c r="I31" s="556" t="s">
        <v>101</v>
      </c>
      <c r="J31" s="197" t="s">
        <v>102</v>
      </c>
      <c r="L31" s="627"/>
      <c r="M31" s="628"/>
      <c r="N31" s="622"/>
      <c r="O31" s="623"/>
      <c r="P31" s="558" t="s">
        <v>103</v>
      </c>
      <c r="Q31" s="477" t="str">
        <f>_xlfn.CONCAT("Worker MOE with Gloves: ",$I$4)</f>
        <v>Worker MOE with Gloves: 10</v>
      </c>
    </row>
    <row r="32" spans="2:18" s="19" customFormat="1" ht="30" customHeight="1" x14ac:dyDescent="0.35">
      <c r="B32" s="612" t="s">
        <v>119</v>
      </c>
      <c r="C32" s="601" t="s">
        <v>120</v>
      </c>
      <c r="D32" s="598">
        <f>IF(AND(ISNUMBER(VLOOKUP(B32,'Health Data'!$F$6:$H$25,2,FALSE)),$E$4=0.5),SUMIFS('Health Data'!$G$6:$G$25,'Health Data'!$F$6:$F$25,Dashboard!B32),IF(ISNUMBER(VLOOKUP(B32,'Health Data'!$F$6:$H$25,3,FALSE)),SUMIFS('Health Data'!$H$6:$H$25,'Health Data'!$F$6:$F$25,Dashboard!B32),SUMIFS('Health Data'!$G$6:$G$25,'Health Data'!$F$6:$F$25,Dashboard!B32)))</f>
        <v>9.1</v>
      </c>
      <c r="E32" s="141" t="s">
        <v>89</v>
      </c>
      <c r="F32" s="301">
        <f>VLOOKUP(B32,'Health Data'!$F$6:$K$25,6,FALSE)</f>
        <v>10</v>
      </c>
      <c r="G32" s="87">
        <f>IFERROR(D32/$H$10, "")</f>
        <v>14.010838058991709</v>
      </c>
      <c r="H32" s="87">
        <f>IFERROR(D32/$H$11, "")</f>
        <v>22.153288148150811</v>
      </c>
      <c r="I32" s="87">
        <f>IFERROR(D32/($H$10/$H$4),"")</f>
        <v>14010.838058991709</v>
      </c>
      <c r="J32" s="107">
        <f>IFERROR(D32/($H$11/$H$4),"")</f>
        <v>22153.288148150812</v>
      </c>
      <c r="L32" s="601" t="s">
        <v>120</v>
      </c>
      <c r="M32" s="598">
        <f>IF(AND(ISNUMBER(VLOOKUP(B32,'Health Data'!$F$6:$J$25,4,FALSE)),$M$4=0.5),SUMIFS('Health Data'!$I$6:$I$25,'Health Data'!$F$6:$F$25,Dashboard!B32),IF(ISNUMBER(VLOOKUP(B32,'Health Data'!$F$6:$J$25,5,FALSE)),SUMIFS('Health Data'!$J$6:$J$25,'Health Data'!$F$6:$F$25,Dashboard!B32),"N/A"))</f>
        <v>7.9</v>
      </c>
      <c r="N32" s="141" t="s">
        <v>89</v>
      </c>
      <c r="O32" s="301">
        <f>VLOOKUP(B32,'Health Data'!$F$6:$K$25,6,FALSE)</f>
        <v>10</v>
      </c>
      <c r="P32" s="69">
        <f>IFERROR(M32/$P$10, "")</f>
        <v>2.7200981676434814</v>
      </c>
      <c r="Q32" s="93">
        <f>IFERROR(M32/$P$12, "")</f>
        <v>27.200981676434814</v>
      </c>
    </row>
    <row r="33" spans="1:26" s="19" customFormat="1" ht="30" customHeight="1" thickBot="1" x14ac:dyDescent="0.4">
      <c r="B33" s="612"/>
      <c r="C33" s="602"/>
      <c r="D33" s="599"/>
      <c r="E33" s="140" t="s">
        <v>106</v>
      </c>
      <c r="F33" s="302">
        <f>VLOOKUP(B32,'Health Data'!$F$6:$K$25,6,FALSE)</f>
        <v>10</v>
      </c>
      <c r="G33" s="286">
        <f>IFERROR(D32/$H$12, "")</f>
        <v>40.217147991585257</v>
      </c>
      <c r="H33" s="286">
        <f>IFERROR(D32/$H$13, "")</f>
        <v>80.669776559476006</v>
      </c>
      <c r="I33" s="286">
        <f>IFERROR(D32/($H$12/$H$4),"")</f>
        <v>40217.147991585254</v>
      </c>
      <c r="J33" s="300">
        <f>IFERROR(D32/($H$13/$H$4),"")</f>
        <v>80669.776559476013</v>
      </c>
      <c r="K33" s="29"/>
      <c r="L33" s="602"/>
      <c r="M33" s="599"/>
      <c r="N33" s="140" t="s">
        <v>106</v>
      </c>
      <c r="O33" s="302">
        <f>VLOOKUP(B32,'Health Data'!$F$6:$K$25,6,FALSE)</f>
        <v>10</v>
      </c>
      <c r="P33" s="70">
        <f>IFERROR(M32/$P$11,"")</f>
        <v>9.2673111990644212</v>
      </c>
      <c r="Q33" s="174">
        <f>IFERROR(M32/$P$13,"")</f>
        <v>92.673111990644202</v>
      </c>
    </row>
    <row r="34" spans="1:26" s="19" customFormat="1" ht="22.5" customHeight="1" x14ac:dyDescent="0.35">
      <c r="B34" s="609" t="s">
        <v>121</v>
      </c>
      <c r="C34" s="601" t="s">
        <v>122</v>
      </c>
      <c r="D34" s="598">
        <f>IF(AND(ISNUMBER(VLOOKUP(B34,'Health Data'!$F$6:$H$25,2,FALSE)),$E$4=0.5),SUMIFS('Health Data'!$G$6:$G$25,'Health Data'!$F$6:$F$25,Dashboard!B34),IF(ISNUMBER(VLOOKUP(B34,'Health Data'!$F$6:$H$25,3,FALSE)),SUMIFS('Health Data'!$H$6:$H$25,'Health Data'!$F$6:$F$25,Dashboard!B34),SUMIFS('Health Data'!$G$6:$G$25,'Health Data'!$F$6:$F$25,Dashboard!B34)))</f>
        <v>2.5000000000000001E-2</v>
      </c>
      <c r="E34" s="141" t="s">
        <v>89</v>
      </c>
      <c r="F34" s="301">
        <f>VLOOKUP(B34,'Health Data'!$F$6:$K$25,6,FALSE)</f>
        <v>10</v>
      </c>
      <c r="G34" s="69">
        <f>IFERROR(D34/$H$10, "")</f>
        <v>3.8491313348878328E-2</v>
      </c>
      <c r="H34" s="69">
        <f>IFERROR(D34/$H$11, "")</f>
        <v>6.086068172568905E-2</v>
      </c>
      <c r="I34" s="69">
        <f>IFERROR(D34/($H$10/$H$4),"")</f>
        <v>38.491313348878322</v>
      </c>
      <c r="J34" s="93">
        <f>IFERROR(D34/($H$11/$H$4),"")</f>
        <v>60.860681725689048</v>
      </c>
      <c r="K34" s="29"/>
      <c r="L34" s="601" t="s">
        <v>122</v>
      </c>
      <c r="M34" s="598">
        <f>IF(AND(ISNUMBER(VLOOKUP(B34,'Health Data'!$F$6:$J$25,4,FALSE)),$M$4=0.5),SUMIFS('Health Data'!$I$6:$I$25,'Health Data'!$F$6:$F$25,Dashboard!B34),IF(ISNUMBER(VLOOKUP(B34,'Health Data'!$F$6:$J$25,5,FALSE)),SUMIFS('Health Data'!$J$6:$J$25,'Health Data'!$F$6:$F$25,Dashboard!B34),"N/A"))</f>
        <v>1.4999999999999999E-2</v>
      </c>
      <c r="N34" s="141" t="s">
        <v>89</v>
      </c>
      <c r="O34" s="301">
        <f>VLOOKUP(B34,'Health Data'!$F$6:$K$25,6,FALSE)</f>
        <v>10</v>
      </c>
      <c r="P34" s="87">
        <f>IFERROR(M34/$P$10, "")</f>
        <v>5.1647433562850911E-3</v>
      </c>
      <c r="Q34" s="107">
        <f>IFERROR(M34/$P$12, "")</f>
        <v>5.1647433562850911E-2</v>
      </c>
    </row>
    <row r="35" spans="1:26" s="30" customFormat="1" ht="22.5" customHeight="1" thickBot="1" x14ac:dyDescent="0.4">
      <c r="A35" s="19"/>
      <c r="B35" s="609"/>
      <c r="C35" s="602"/>
      <c r="D35" s="599"/>
      <c r="E35" s="140" t="s">
        <v>106</v>
      </c>
      <c r="F35" s="302">
        <f>VLOOKUP(B34,'Health Data'!$F$6:$K$25,6,FALSE)</f>
        <v>10</v>
      </c>
      <c r="G35" s="70">
        <f>IFERROR(D34/$H$12, "")</f>
        <v>0.1104866703065529</v>
      </c>
      <c r="H35" s="70">
        <f>IFERROR(D34/$H$13, "")</f>
        <v>0.22162026527328577</v>
      </c>
      <c r="I35" s="70">
        <f>IFERROR(D34/($H$12/$H$4),"")</f>
        <v>110.48667030655291</v>
      </c>
      <c r="J35" s="174">
        <f>IFERROR(D34/($H$13/$H$4),"")</f>
        <v>221.62026527328578</v>
      </c>
      <c r="K35" s="29"/>
      <c r="L35" s="602"/>
      <c r="M35" s="599"/>
      <c r="N35" s="140" t="s">
        <v>106</v>
      </c>
      <c r="O35" s="302">
        <f>VLOOKUP(B34,'Health Data'!$F$6:$K$25,6,FALSE)</f>
        <v>10</v>
      </c>
      <c r="P35" s="286">
        <f>IFERROR(M34/$P$11,"")</f>
        <v>1.7596160504552694E-2</v>
      </c>
      <c r="Q35" s="300">
        <f>IFERROR(M34/$P$13,"")</f>
        <v>0.17596160504552696</v>
      </c>
      <c r="V35" s="19"/>
      <c r="W35" s="19"/>
      <c r="X35" s="19"/>
      <c r="Y35" s="19"/>
      <c r="Z35" s="19"/>
    </row>
    <row r="36" spans="1:26" s="30" customFormat="1" ht="22.5" customHeight="1" x14ac:dyDescent="0.35">
      <c r="B36" s="609" t="s">
        <v>123</v>
      </c>
      <c r="C36" s="601" t="s">
        <v>124</v>
      </c>
      <c r="D36" s="598">
        <f>IF(AND(ISNUMBER(VLOOKUP(B36,'Health Data'!$F$6:$H$25,2,FALSE)),$E$4=0.5),SUMIFS('Health Data'!$G$6:$G$25,'Health Data'!$F$6:$F$25,Dashboard!B36),IF(ISNUMBER(VLOOKUP(B36,'Health Data'!$F$6:$H$25,3,FALSE)),SUMIFS('Health Data'!$H$6:$H$25,'Health Data'!$F$6:$F$25,Dashboard!B36),SUMIFS('Health Data'!$G$6:$G$25,'Health Data'!$F$6:$F$25,Dashboard!B36)))</f>
        <v>4.8</v>
      </c>
      <c r="E36" s="141" t="s">
        <v>89</v>
      </c>
      <c r="F36" s="301">
        <f>VLOOKUP(B36,'Health Data'!$F$6:$K$25,6,FALSE)</f>
        <v>300</v>
      </c>
      <c r="G36" s="87">
        <f>IFERROR(D36/$H$10, "")</f>
        <v>7.3903321629846381</v>
      </c>
      <c r="H36" s="87">
        <f>IFERROR(D36/$H$11, "")</f>
        <v>11.685250891332297</v>
      </c>
      <c r="I36" s="87">
        <f>IFERROR(D36/($H$10/$H$4),"")</f>
        <v>7390.3321629846378</v>
      </c>
      <c r="J36" s="107">
        <f>IFERROR(D36/($H$11/$H$4),"")</f>
        <v>11685.250891332296</v>
      </c>
      <c r="K36" s="29"/>
      <c r="L36" s="601" t="s">
        <v>124</v>
      </c>
      <c r="M36" s="598">
        <f>IF(AND(ISNUMBER(VLOOKUP(B36,'Health Data'!$F$6:$J$25,4,FALSE)),$M$4=0.5),SUMIFS('Health Data'!$I$6:$I$25,'Health Data'!$F$6:$F$25,Dashboard!B36),IF(ISNUMBER(VLOOKUP(B36,'Health Data'!$F$6:$J$25,5,FALSE)),SUMIFS('Health Data'!$J$6:$J$25,'Health Data'!$F$6:$F$25,Dashboard!B36),"N/A"))</f>
        <v>6.5</v>
      </c>
      <c r="N36" s="141" t="s">
        <v>89</v>
      </c>
      <c r="O36" s="301">
        <f>VLOOKUP(B36,'Health Data'!$F$6:$K$25,6,FALSE)</f>
        <v>300</v>
      </c>
      <c r="P36" s="69">
        <f>IFERROR(M36/$P$10, "")</f>
        <v>2.238055454390206</v>
      </c>
      <c r="Q36" s="93">
        <f>IFERROR(M36/$P$12, "")</f>
        <v>22.380554543902061</v>
      </c>
      <c r="V36" s="19"/>
      <c r="W36" s="19"/>
      <c r="X36" s="19"/>
      <c r="Y36" s="19"/>
      <c r="Z36" s="19"/>
    </row>
    <row r="37" spans="1:26" s="31" customFormat="1" ht="22.5" customHeight="1" thickBot="1" x14ac:dyDescent="0.4">
      <c r="A37" s="30"/>
      <c r="B37" s="609"/>
      <c r="C37" s="602"/>
      <c r="D37" s="599"/>
      <c r="E37" s="140" t="s">
        <v>106</v>
      </c>
      <c r="F37" s="302">
        <f>VLOOKUP(B36,'Health Data'!$F$6:$K$25,6,FALSE)</f>
        <v>300</v>
      </c>
      <c r="G37" s="286">
        <f>IFERROR(D36/$H$12, "")</f>
        <v>21.213440698858157</v>
      </c>
      <c r="H37" s="286">
        <f>IFERROR(D36/$H$13, "")</f>
        <v>42.551090932470863</v>
      </c>
      <c r="I37" s="286">
        <f>IFERROR(D36/($H$12/$H$4),"")</f>
        <v>21213.440698858158</v>
      </c>
      <c r="J37" s="300">
        <f>IFERROR(D36/($H$13/$H$4),"")</f>
        <v>42551.090932470863</v>
      </c>
      <c r="K37" s="29"/>
      <c r="L37" s="602"/>
      <c r="M37" s="599"/>
      <c r="N37" s="140" t="s">
        <v>106</v>
      </c>
      <c r="O37" s="302">
        <f>VLOOKUP(B36,'Health Data'!$F$6:$K$25,6,FALSE)</f>
        <v>300</v>
      </c>
      <c r="P37" s="70">
        <f>IFERROR(M36/$P$11,"")</f>
        <v>7.6250028853061682</v>
      </c>
      <c r="Q37" s="174">
        <f>IFERROR(M36/$P$13,"")</f>
        <v>76.250028853061679</v>
      </c>
      <c r="V37" s="19"/>
      <c r="W37" s="19"/>
      <c r="X37" s="19"/>
      <c r="Y37" s="19"/>
      <c r="Z37" s="19"/>
    </row>
    <row r="38" spans="1:26" s="31" customFormat="1" ht="22.5" customHeight="1" x14ac:dyDescent="0.35">
      <c r="B38" s="609" t="s">
        <v>125</v>
      </c>
      <c r="C38" s="601" t="s">
        <v>126</v>
      </c>
      <c r="D38" s="598">
        <f>IF(AND(ISNUMBER(VLOOKUP(B38,'Health Data'!$F$6:$H$25,2,FALSE)),$E$4=0.5),SUMIFS('Health Data'!$G$6:$G$25,'Health Data'!$F$6:$F$25,Dashboard!B38),IF(ISNUMBER(VLOOKUP(B38,'Health Data'!$F$6:$H$25,3,FALSE)),SUMIFS('Health Data'!$H$6:$H$25,'Health Data'!$F$6:$F$25,Dashboard!B38),SUMIFS('Health Data'!$G$6:$G$25,'Health Data'!$F$6:$F$25,Dashboard!B38)))</f>
        <v>5.3</v>
      </c>
      <c r="E38" s="141" t="s">
        <v>89</v>
      </c>
      <c r="F38" s="301">
        <f>VLOOKUP(B38,'Health Data'!$F$6:$K$25,6,FALSE)</f>
        <v>10</v>
      </c>
      <c r="G38" s="69">
        <f>IFERROR(D38/$H$10, "")</f>
        <v>8.1601584299622054</v>
      </c>
      <c r="H38" s="69">
        <f>IFERROR(D38/$H$11, "")</f>
        <v>12.902464525846078</v>
      </c>
      <c r="I38" s="69">
        <f>IFERROR(D38/($H$10/$H$4),"")</f>
        <v>8160.1584299622045</v>
      </c>
      <c r="J38" s="93">
        <f>IFERROR(D38/($H$11/$H$4),"")</f>
        <v>12902.464525846077</v>
      </c>
      <c r="K38" s="29"/>
      <c r="L38" s="601" t="s">
        <v>126</v>
      </c>
      <c r="M38" s="598">
        <f>IF(AND(ISNUMBER(VLOOKUP(B38,'Health Data'!$F$6:$J$25,4,FALSE)),$M$4=0.5),SUMIFS('Health Data'!$I$6:$I$25,'Health Data'!$F$6:$F$25,Dashboard!B38),IF(ISNUMBER(VLOOKUP(B38,'Health Data'!$F$6:$J$25,5,FALSE)),SUMIFS('Health Data'!$J$6:$J$25,'Health Data'!$F$6:$F$25,Dashboard!B38),"N/A"))</f>
        <v>7.3</v>
      </c>
      <c r="N38" s="141" t="s">
        <v>89</v>
      </c>
      <c r="O38" s="301">
        <f>VLOOKUP(B38,'Health Data'!$F$6:$K$25,6,FALSE)</f>
        <v>10</v>
      </c>
      <c r="P38" s="87">
        <f>IFERROR(M38/$P$10, "")</f>
        <v>2.5135084333920776</v>
      </c>
      <c r="Q38" s="107">
        <f>IFERROR(M38/$P$12, "")</f>
        <v>25.135084333920776</v>
      </c>
      <c r="V38" s="19"/>
      <c r="W38" s="19"/>
      <c r="X38" s="19"/>
      <c r="Y38" s="19"/>
      <c r="Z38" s="19"/>
    </row>
    <row r="39" spans="1:26" s="31" customFormat="1" ht="22.5" customHeight="1" thickBot="1" x14ac:dyDescent="0.4">
      <c r="B39" s="609"/>
      <c r="C39" s="602"/>
      <c r="D39" s="599"/>
      <c r="E39" s="140" t="s">
        <v>106</v>
      </c>
      <c r="F39" s="302">
        <f>VLOOKUP(B38,'Health Data'!$F$6:$K$25,6,FALSE)</f>
        <v>10</v>
      </c>
      <c r="G39" s="70">
        <f>IFERROR(D38/$H$12, "")</f>
        <v>23.423174104989215</v>
      </c>
      <c r="H39" s="70">
        <f>IFERROR(D38/$H$13, "")</f>
        <v>46.983496237936578</v>
      </c>
      <c r="I39" s="70">
        <f>IFERROR(D38/($H$12/$H$4),"")</f>
        <v>23423.174104989215</v>
      </c>
      <c r="J39" s="174">
        <f>IFERROR(D38/($H$13/$H$4),"")</f>
        <v>46983.496237936582</v>
      </c>
      <c r="K39" s="29"/>
      <c r="L39" s="602"/>
      <c r="M39" s="599"/>
      <c r="N39" s="140" t="s">
        <v>106</v>
      </c>
      <c r="O39" s="302">
        <f>VLOOKUP(B38,'Health Data'!$F$6:$K$25,6,FALSE)</f>
        <v>10</v>
      </c>
      <c r="P39" s="286">
        <f>IFERROR(M38/$P$11,"")</f>
        <v>8.5634647788823113</v>
      </c>
      <c r="Q39" s="300">
        <f>IFERROR(M38/$P$13,"")</f>
        <v>85.634647788823116</v>
      </c>
      <c r="V39" s="19"/>
      <c r="W39" s="19"/>
      <c r="X39" s="19"/>
      <c r="Y39" s="19"/>
      <c r="Z39" s="19"/>
    </row>
    <row r="40" spans="1:26" s="31" customFormat="1" ht="22.5" customHeight="1" x14ac:dyDescent="0.35">
      <c r="B40" s="609" t="s">
        <v>127</v>
      </c>
      <c r="C40" s="601" t="s">
        <v>128</v>
      </c>
      <c r="D40" s="598">
        <f>IF(AND(ISNUMBER(VLOOKUP(B40,'Health Data'!$F$6:$H$25,2,FALSE)),$E$4=0.5),SUMIFS('Health Data'!$G$6:$G$25,'Health Data'!$F$6:$F$25,Dashboard!B40),IF(ISNUMBER(VLOOKUP(B40,'Health Data'!$F$6:$H$25,3,FALSE)),SUMIFS('Health Data'!$H$6:$H$25,'Health Data'!$F$6:$F$25,Dashboard!B40),SUMIFS('Health Data'!$G$6:$G$25,'Health Data'!$F$6:$F$25,Dashboard!B40)))</f>
        <v>0.5</v>
      </c>
      <c r="E40" s="141" t="s">
        <v>89</v>
      </c>
      <c r="F40" s="301">
        <f>VLOOKUP(B40,'Health Data'!$F$6:$K$25,6,FALSE)</f>
        <v>30</v>
      </c>
      <c r="G40" s="87">
        <f>IFERROR(D40/$H$10, "")</f>
        <v>0.76982626697756651</v>
      </c>
      <c r="H40" s="87">
        <f>IFERROR(D40/$H$11, "")</f>
        <v>1.217213634513781</v>
      </c>
      <c r="I40" s="87">
        <f>IFERROR(D40/($H$10/$H$4),"")</f>
        <v>769.82626697756643</v>
      </c>
      <c r="J40" s="107">
        <f>IFERROR(D40/($H$11/$H$4),"")</f>
        <v>1217.2136345137808</v>
      </c>
      <c r="K40" s="29"/>
      <c r="L40" s="601" t="s">
        <v>128</v>
      </c>
      <c r="M40" s="598">
        <f>IF(AND(ISNUMBER(VLOOKUP(B40,'Health Data'!$F$6:$J$25,4,FALSE)),$M$4=0.5),SUMIFS('Health Data'!$I$6:$I$25,'Health Data'!$F$6:$F$25,Dashboard!B40),IF(ISNUMBER(VLOOKUP(B40,'Health Data'!$F$6:$J$25,5,FALSE)),SUMIFS('Health Data'!$J$6:$J$25,'Health Data'!$F$6:$F$25,Dashboard!B40),"N/A"))</f>
        <v>0.73</v>
      </c>
      <c r="N40" s="141" t="s">
        <v>89</v>
      </c>
      <c r="O40" s="301">
        <f>VLOOKUP(B40,'Health Data'!$F$6:$K$25,6,FALSE)</f>
        <v>30</v>
      </c>
      <c r="P40" s="69">
        <f>IFERROR(M40/$P$10, "")</f>
        <v>0.25135084333920776</v>
      </c>
      <c r="Q40" s="93">
        <f>IFERROR(M40/$P$12, "")</f>
        <v>2.5135084333920776</v>
      </c>
      <c r="V40" s="19"/>
      <c r="W40" s="19"/>
      <c r="X40" s="19"/>
      <c r="Y40" s="19"/>
      <c r="Z40" s="19"/>
    </row>
    <row r="41" spans="1:26" s="31" customFormat="1" ht="22.5" customHeight="1" thickBot="1" x14ac:dyDescent="0.4">
      <c r="B41" s="609"/>
      <c r="C41" s="602"/>
      <c r="D41" s="599"/>
      <c r="E41" s="140" t="s">
        <v>106</v>
      </c>
      <c r="F41" s="302">
        <f>VLOOKUP(B40,'Health Data'!$F$6:$K$25,6,FALSE)</f>
        <v>30</v>
      </c>
      <c r="G41" s="286">
        <f>IFERROR(D40/$H$12, "")</f>
        <v>2.2097334061310581</v>
      </c>
      <c r="H41" s="286">
        <f>IFERROR(D40/$H$13, "")</f>
        <v>4.4324053054657151</v>
      </c>
      <c r="I41" s="286">
        <f>IFERROR(D40/($H$12/$H$4),"")</f>
        <v>2209.733406131058</v>
      </c>
      <c r="J41" s="300">
        <f>IFERROR(D40/($H$13/$H$4),"")</f>
        <v>4432.4053054657152</v>
      </c>
      <c r="K41" s="29"/>
      <c r="L41" s="602"/>
      <c r="M41" s="599"/>
      <c r="N41" s="140" t="s">
        <v>106</v>
      </c>
      <c r="O41" s="302">
        <f>VLOOKUP(B40,'Health Data'!$F$6:$K$25,6,FALSE)</f>
        <v>30</v>
      </c>
      <c r="P41" s="70">
        <f>IFERROR(M40/$P$11,"")</f>
        <v>0.85634647788823115</v>
      </c>
      <c r="Q41" s="174">
        <f>IFERROR(M40/$P$13,"")</f>
        <v>8.5634647788823113</v>
      </c>
      <c r="V41" s="19"/>
      <c r="W41" s="19"/>
      <c r="X41" s="19"/>
      <c r="Y41" s="19"/>
      <c r="Z41" s="19"/>
    </row>
    <row r="42" spans="1:26" s="31" customFormat="1" ht="22.5" customHeight="1" x14ac:dyDescent="0.35">
      <c r="B42" s="609" t="s">
        <v>129</v>
      </c>
      <c r="C42" s="603" t="s">
        <v>130</v>
      </c>
      <c r="D42" s="598">
        <f>IF(AND(ISNUMBER(VLOOKUP(B42,'Health Data'!$F$6:$H$25,2,FALSE)),$E$4=0.5),SUMIFS('Health Data'!$G$6:$G$25,'Health Data'!$F$6:$F$25,Dashboard!B42),IF(ISNUMBER(VLOOKUP(B42,'Health Data'!$F$6:$H$25,3,FALSE)),SUMIFS('Health Data'!$H$6:$H$25,'Health Data'!$F$6:$F$25,Dashboard!B42),SUMIFS('Health Data'!$G$6:$G$25,'Health Data'!$F$6:$F$25,Dashboard!B42)))</f>
        <v>37</v>
      </c>
      <c r="E42" s="141" t="s">
        <v>89</v>
      </c>
      <c r="F42" s="301">
        <f>VLOOKUP(B42,'Health Data'!$F$6:$K$25,6,FALSE)</f>
        <v>100</v>
      </c>
      <c r="G42" s="69">
        <f>IFERROR(D42/$H$10, "")</f>
        <v>56.967143756339922</v>
      </c>
      <c r="H42" s="69">
        <f>IFERROR(D42/$H$11, "")</f>
        <v>90.073808954019782</v>
      </c>
      <c r="I42" s="69">
        <f>IFERROR(D42/($H$10/$H$4),"")</f>
        <v>56967.143756339916</v>
      </c>
      <c r="J42" s="93">
        <f>IFERROR(D42/($H$11/$H$4),"")</f>
        <v>90073.808954019783</v>
      </c>
      <c r="K42" s="29"/>
      <c r="L42" s="603" t="s">
        <v>130</v>
      </c>
      <c r="M42" s="598">
        <f>IF(AND(ISNUMBER(VLOOKUP(B42,'Health Data'!$F$6:$J$25,4,FALSE)),$M$4=0.5),SUMIFS('Health Data'!$I$6:$I$25,'Health Data'!$F$6:$F$25,Dashboard!B42),IF(ISNUMBER(VLOOKUP(B42,'Health Data'!$F$6:$J$25,5,FALSE)),SUMIFS('Health Data'!$J$6:$J$25,'Health Data'!$F$6:$F$25,Dashboard!B42),"N/A"))</f>
        <v>44</v>
      </c>
      <c r="N42" s="141" t="s">
        <v>89</v>
      </c>
      <c r="O42" s="301">
        <f>VLOOKUP(B42,'Health Data'!$F$6:$K$25,6,FALSE)</f>
        <v>100</v>
      </c>
      <c r="P42" s="87">
        <f>IFERROR(M42/$P$10, "")</f>
        <v>15.149913845102935</v>
      </c>
      <c r="Q42" s="107">
        <f>IFERROR(M42/$P$12, "")</f>
        <v>151.49913845102935</v>
      </c>
      <c r="V42" s="19"/>
      <c r="W42" s="19"/>
      <c r="X42" s="19"/>
      <c r="Y42" s="19"/>
      <c r="Z42" s="19"/>
    </row>
    <row r="43" spans="1:26" s="31" customFormat="1" ht="22.5" customHeight="1" thickBot="1" x14ac:dyDescent="0.4">
      <c r="B43" s="609"/>
      <c r="C43" s="604"/>
      <c r="D43" s="599"/>
      <c r="E43" s="140" t="s">
        <v>106</v>
      </c>
      <c r="F43" s="302">
        <f>VLOOKUP(B42,'Health Data'!$F$6:$K$25,6,FALSE)</f>
        <v>100</v>
      </c>
      <c r="G43" s="70">
        <f>IFERROR(D42/$H$12, "")</f>
        <v>163.52027205369828</v>
      </c>
      <c r="H43" s="70">
        <f>IFERROR(D42/$H$13, "")</f>
        <v>327.99799260446292</v>
      </c>
      <c r="I43" s="70">
        <f>IFERROR(D42/($H$12/$H$4),"")</f>
        <v>163520.27205369828</v>
      </c>
      <c r="J43" s="174">
        <f>IFERROR(D42/($H$13/$H$4),"")</f>
        <v>327997.9926044629</v>
      </c>
      <c r="K43" s="29"/>
      <c r="L43" s="604"/>
      <c r="M43" s="599"/>
      <c r="N43" s="140" t="s">
        <v>106</v>
      </c>
      <c r="O43" s="302">
        <f>VLOOKUP(B42,'Health Data'!$F$6:$K$25,6,FALSE)</f>
        <v>100</v>
      </c>
      <c r="P43" s="286">
        <f>IFERROR(M42/$P$11,"")</f>
        <v>51.615404146687908</v>
      </c>
      <c r="Q43" s="300">
        <f>IFERROR(M42/$P$13,"")</f>
        <v>516.15404146687911</v>
      </c>
      <c r="V43" s="19"/>
      <c r="W43" s="19"/>
      <c r="X43" s="19"/>
      <c r="Y43" s="19"/>
      <c r="Z43" s="19"/>
    </row>
    <row r="44" spans="1:26" s="31" customFormat="1" ht="22.5" customHeight="1" x14ac:dyDescent="0.35">
      <c r="B44" s="609" t="s">
        <v>131</v>
      </c>
      <c r="C44" s="603" t="s">
        <v>132</v>
      </c>
      <c r="D44" s="598">
        <f>IF(AND(ISNUMBER(VLOOKUP(B44,'Health Data'!$F$6:$H$25,2,FALSE)),$E$4=0.5),SUMIFS('Health Data'!$G$6:$G$25,'Health Data'!$F$6:$F$25,Dashboard!B44),IF(ISNUMBER(VLOOKUP(B44,'Health Data'!$F$6:$H$25,3,FALSE)),SUMIFS('Health Data'!$H$6:$H$25,'Health Data'!$F$6:$F$25,Dashboard!B44),SUMIFS('Health Data'!$G$6:$G$25,'Health Data'!$F$6:$F$25,Dashboard!B44)))</f>
        <v>3.7000000000000002E-3</v>
      </c>
      <c r="E44" s="141" t="s">
        <v>89</v>
      </c>
      <c r="F44" s="301">
        <f>VLOOKUP(B44,'Health Data'!$F$6:$K$25,6,FALSE)</f>
        <v>10</v>
      </c>
      <c r="G44" s="87">
        <f>IFERROR(D44/$H$10, "")</f>
        <v>5.6967143756339921E-3</v>
      </c>
      <c r="H44" s="87">
        <f>IFERROR(D44/$H$11, "")</f>
        <v>9.0073808954019789E-3</v>
      </c>
      <c r="I44" s="87">
        <f>IFERROR(D44/($H$10/$H$4),"")</f>
        <v>5.6967143756339924</v>
      </c>
      <c r="J44" s="107">
        <f>IFERROR(D44/($H$11/$H$4),"")</f>
        <v>9.0073808954019796</v>
      </c>
      <c r="K44" s="29"/>
      <c r="L44" s="603" t="s">
        <v>132</v>
      </c>
      <c r="M44" s="598">
        <f>IF(AND(ISNUMBER(VLOOKUP(B44,'Health Data'!$F$6:$J$25,4,FALSE)),$M$4=0.5),SUMIFS('Health Data'!$I$6:$I$25,'Health Data'!$F$6:$F$25,Dashboard!B44),IF(ISNUMBER(VLOOKUP(B44,'Health Data'!$F$6:$J$25,5,FALSE)),SUMIFS('Health Data'!$J$6:$J$25,'Health Data'!$F$6:$F$25,Dashboard!B44),"N/A"))</f>
        <v>5.1999999999999998E-3</v>
      </c>
      <c r="N44" s="141" t="s">
        <v>89</v>
      </c>
      <c r="O44" s="301">
        <f>VLOOKUP(B44,'Health Data'!$F$6:$K$25,6,FALSE)</f>
        <v>10</v>
      </c>
      <c r="P44" s="69">
        <f>IFERROR(M44/$P$10, "")</f>
        <v>1.7904443635121648E-3</v>
      </c>
      <c r="Q44" s="93">
        <f>IFERROR(M44/$P$12, "")</f>
        <v>1.7904443635121649E-2</v>
      </c>
      <c r="V44" s="19"/>
      <c r="W44" s="19"/>
      <c r="X44" s="19"/>
      <c r="Y44" s="19"/>
      <c r="Z44" s="19"/>
    </row>
    <row r="45" spans="1:26" s="31" customFormat="1" ht="22.5" customHeight="1" thickBot="1" x14ac:dyDescent="0.4">
      <c r="B45" s="609"/>
      <c r="C45" s="604"/>
      <c r="D45" s="599"/>
      <c r="E45" s="140" t="s">
        <v>106</v>
      </c>
      <c r="F45" s="302">
        <f>VLOOKUP(B44,'Health Data'!$F$6:$K$25,6,FALSE)</f>
        <v>10</v>
      </c>
      <c r="G45" s="286">
        <f>IFERROR(D44/$H$12, "")</f>
        <v>1.635202720536983E-2</v>
      </c>
      <c r="H45" s="87">
        <f>IFERROR(D44/$H$13, "")</f>
        <v>3.2799799260446294E-2</v>
      </c>
      <c r="I45" s="286">
        <f>IFERROR(D44/($H$12/$H$4),"")</f>
        <v>16.352027205369829</v>
      </c>
      <c r="J45" s="300">
        <f>IFERROR(D44/($H$13/$H$4),"")</f>
        <v>32.799799260446292</v>
      </c>
      <c r="K45" s="29"/>
      <c r="L45" s="604"/>
      <c r="M45" s="599"/>
      <c r="N45" s="140" t="s">
        <v>106</v>
      </c>
      <c r="O45" s="302">
        <f>VLOOKUP(B44,'Health Data'!$F$6:$K$25,6,FALSE)</f>
        <v>10</v>
      </c>
      <c r="P45" s="70">
        <f>IFERROR(M44/$P$11,"")</f>
        <v>6.1000023082449341E-3</v>
      </c>
      <c r="Q45" s="174">
        <f>IFERROR(M44/$P$13,"")</f>
        <v>6.1000023082449346E-2</v>
      </c>
      <c r="V45" s="19"/>
      <c r="W45" s="19"/>
      <c r="X45" s="19"/>
      <c r="Y45" s="19"/>
      <c r="Z45" s="19"/>
    </row>
    <row r="46" spans="1:26" s="31" customFormat="1" ht="22.5" customHeight="1" x14ac:dyDescent="0.35">
      <c r="B46" s="609" t="s">
        <v>133</v>
      </c>
      <c r="C46" s="603" t="s">
        <v>134</v>
      </c>
      <c r="D46" s="598">
        <f>IF(AND(ISNUMBER(VLOOKUP(B46,'Health Data'!$F$6:$H$25,2,FALSE)),$E$4=0.5),SUMIFS('Health Data'!$G$6:$G$25,'Health Data'!$F$6:$F$25,Dashboard!B46),IF(ISNUMBER(VLOOKUP(B46,'Health Data'!$F$6:$H$25,3,FALSE)),SUMIFS('Health Data'!$H$6:$H$25,'Health Data'!$F$6:$F$25,Dashboard!B46),SUMIFS('Health Data'!$G$6:$G$25,'Health Data'!$F$6:$F$25,Dashboard!B46)))</f>
        <v>3</v>
      </c>
      <c r="E46" s="141" t="s">
        <v>89</v>
      </c>
      <c r="F46" s="301">
        <f>VLOOKUP(B46,'Health Data'!$F$6:$K$25,6,FALSE)</f>
        <v>300</v>
      </c>
      <c r="G46" s="69">
        <f>IFERROR(D46/$H$10, "")</f>
        <v>4.6189576018653993</v>
      </c>
      <c r="H46" s="69">
        <f>IFERROR(D46/$H$11, "")</f>
        <v>7.3032818070826853</v>
      </c>
      <c r="I46" s="69">
        <f>IFERROR(D46/($H$10/$H$4),"")</f>
        <v>4618.9576018653988</v>
      </c>
      <c r="J46" s="93">
        <f>IFERROR(D46/($H$11/$H$4),"")</f>
        <v>7303.2818070826852</v>
      </c>
      <c r="K46" s="29"/>
      <c r="L46" s="603" t="s">
        <v>134</v>
      </c>
      <c r="M46" s="598">
        <f>IF(AND(ISNUMBER(VLOOKUP(B46,'Health Data'!$F$6:$J$25,4,FALSE)),$M$4=0.5),SUMIFS('Health Data'!$I$6:$I$25,'Health Data'!$F$6:$F$25,Dashboard!B46),IF(ISNUMBER(VLOOKUP(B46,'Health Data'!$F$6:$J$25,5,FALSE)),SUMIFS('Health Data'!$J$6:$J$25,'Health Data'!$F$6:$F$25,Dashboard!B46),"N/A"))</f>
        <v>4.0999999999999996</v>
      </c>
      <c r="N46" s="141" t="s">
        <v>89</v>
      </c>
      <c r="O46" s="301">
        <f>VLOOKUP(B46,'Health Data'!$F$6:$K$25,6,FALSE)</f>
        <v>300</v>
      </c>
      <c r="P46" s="87">
        <f>IFERROR(M46/$P$10, "")</f>
        <v>1.4116965173845915</v>
      </c>
      <c r="Q46" s="107">
        <f>IFERROR(M46/$P$12, "")</f>
        <v>14.116965173845914</v>
      </c>
      <c r="V46" s="19"/>
      <c r="W46" s="19"/>
      <c r="X46" s="19"/>
      <c r="Y46" s="19"/>
      <c r="Z46" s="19"/>
    </row>
    <row r="47" spans="1:26" s="31" customFormat="1" ht="22.5" customHeight="1" thickBot="1" x14ac:dyDescent="0.4">
      <c r="B47" s="609"/>
      <c r="C47" s="604"/>
      <c r="D47" s="599"/>
      <c r="E47" s="140" t="s">
        <v>106</v>
      </c>
      <c r="F47" s="302">
        <f>VLOOKUP(B46,'Health Data'!$F$6:$K$25,6,FALSE)</f>
        <v>300</v>
      </c>
      <c r="G47" s="70">
        <f>IFERROR(D46/$H$12, "")</f>
        <v>13.258400436786347</v>
      </c>
      <c r="H47" s="70">
        <f>IFERROR(D46/$H$13, "")</f>
        <v>26.594431832794289</v>
      </c>
      <c r="I47" s="70">
        <f>IFERROR(D46/($H$12/$H$4),"")</f>
        <v>13258.400436786347</v>
      </c>
      <c r="J47" s="174">
        <f>IFERROR(D46/($H$13/$H$4),"")</f>
        <v>26594.431832794289</v>
      </c>
      <c r="K47" s="29"/>
      <c r="L47" s="604"/>
      <c r="M47" s="599"/>
      <c r="N47" s="140" t="s">
        <v>106</v>
      </c>
      <c r="O47" s="302">
        <f>VLOOKUP(B46,'Health Data'!$F$6:$K$25,6,FALSE)</f>
        <v>300</v>
      </c>
      <c r="P47" s="286">
        <f>IFERROR(M46/$P$11,"")</f>
        <v>4.8096172045777363</v>
      </c>
      <c r="Q47" s="300">
        <f>IFERROR(M46/$P$13,"")</f>
        <v>48.096172045777365</v>
      </c>
      <c r="V47" s="19"/>
      <c r="W47" s="19"/>
      <c r="X47" s="19"/>
      <c r="Y47" s="19"/>
      <c r="Z47" s="19"/>
    </row>
    <row r="48" spans="1:26" s="31" customFormat="1" ht="22.5" customHeight="1" x14ac:dyDescent="0.35">
      <c r="B48" s="609" t="s">
        <v>135</v>
      </c>
      <c r="C48" s="601" t="s">
        <v>136</v>
      </c>
      <c r="D48" s="598">
        <f>IF(AND(ISNUMBER(VLOOKUP(B48,'Health Data'!$F$6:$H$25,2,FALSE)),$E$4=0.5),SUMIFS('Health Data'!$G$6:$G$25,'Health Data'!$F$6:$F$25,Dashboard!B48),IF(ISNUMBER(VLOOKUP(B48,'Health Data'!$F$6:$H$25,3,FALSE)),SUMIFS('Health Data'!$H$6:$H$25,'Health Data'!$F$6:$F$25,Dashboard!B48),SUMIFS('Health Data'!$G$6:$G$25,'Health Data'!$F$6:$F$25,Dashboard!B48)))</f>
        <v>23</v>
      </c>
      <c r="E48" s="141" t="s">
        <v>89</v>
      </c>
      <c r="F48" s="301">
        <f>VLOOKUP(B48,'Health Data'!$F$6:$K$25,6,FALSE)</f>
        <v>10</v>
      </c>
      <c r="G48" s="87">
        <f>IFERROR(D48/$H$10, "")</f>
        <v>35.41200828096806</v>
      </c>
      <c r="H48" s="87">
        <f>IFERROR(D48/$H$11, "")</f>
        <v>55.991827187633923</v>
      </c>
      <c r="I48" s="87">
        <f>IFERROR(D48/($H$10/$H$4),"")</f>
        <v>35412.008280968053</v>
      </c>
      <c r="J48" s="107">
        <f>IFERROR(D48/($H$11/$H$4),"")</f>
        <v>55991.82718763392</v>
      </c>
      <c r="K48" s="29"/>
      <c r="L48" s="601" t="s">
        <v>136</v>
      </c>
      <c r="M48" s="598">
        <f>IF(AND(ISNUMBER(VLOOKUP(B48,'Health Data'!$F$6:$J$25,4,FALSE)),$M$4=0.5),SUMIFS('Health Data'!$I$6:$I$25,'Health Data'!$F$6:$F$25,Dashboard!B48),IF(ISNUMBER(VLOOKUP(B48,'Health Data'!$F$6:$J$25,5,FALSE)),SUMIFS('Health Data'!$J$6:$J$25,'Health Data'!$F$6:$F$25,Dashboard!B48),"N/A"))</f>
        <v>28</v>
      </c>
      <c r="N48" s="141" t="s">
        <v>89</v>
      </c>
      <c r="O48" s="301">
        <f>VLOOKUP(B48,'Health Data'!$F$6:$K$25,6,FALSE)</f>
        <v>10</v>
      </c>
      <c r="P48" s="69">
        <f>IFERROR(M48/$P$10, "")</f>
        <v>9.6408542650655029</v>
      </c>
      <c r="Q48" s="93">
        <f>IFERROR(M48/$P$12, "")</f>
        <v>96.408542650655036</v>
      </c>
      <c r="V48" s="19"/>
      <c r="W48" s="19"/>
      <c r="X48" s="19"/>
      <c r="Y48" s="19"/>
      <c r="Z48" s="19"/>
    </row>
    <row r="49" spans="1:26" s="31" customFormat="1" ht="22.5" customHeight="1" thickBot="1" x14ac:dyDescent="0.4">
      <c r="B49" s="609"/>
      <c r="C49" s="602"/>
      <c r="D49" s="599"/>
      <c r="E49" s="140" t="s">
        <v>106</v>
      </c>
      <c r="F49" s="302">
        <f>VLOOKUP(B48,'Health Data'!$F$6:$K$25,6,FALSE)</f>
        <v>10</v>
      </c>
      <c r="G49" s="286">
        <f>IFERROR(D48/$H$12, "")</f>
        <v>101.64773668202866</v>
      </c>
      <c r="H49" s="286">
        <f>IFERROR(D48/$H$13, "")</f>
        <v>203.8906440514229</v>
      </c>
      <c r="I49" s="286">
        <f>IFERROR(D48/($H$12/$H$4),"")</f>
        <v>101647.73668202867</v>
      </c>
      <c r="J49" s="300">
        <f>IFERROR(D48/($H$13/$H$4),"")</f>
        <v>203890.64405142289</v>
      </c>
      <c r="K49" s="29"/>
      <c r="L49" s="602"/>
      <c r="M49" s="599"/>
      <c r="N49" s="140" t="s">
        <v>106</v>
      </c>
      <c r="O49" s="302">
        <f>VLOOKUP(B48,'Health Data'!$F$6:$K$25,6,FALSE)</f>
        <v>10</v>
      </c>
      <c r="P49" s="70">
        <f>IFERROR(M48/$P$11,"")</f>
        <v>32.846166275165032</v>
      </c>
      <c r="Q49" s="174">
        <f>IFERROR(M48/$P$13,"")</f>
        <v>328.46166275165035</v>
      </c>
      <c r="V49" s="19"/>
      <c r="W49" s="19"/>
      <c r="X49" s="19"/>
      <c r="Y49" s="19"/>
      <c r="Z49" s="19"/>
    </row>
    <row r="50" spans="1:26" s="31" customFormat="1" ht="22.5" customHeight="1" x14ac:dyDescent="0.35">
      <c r="B50" s="609" t="s">
        <v>137</v>
      </c>
      <c r="C50" s="601" t="s">
        <v>138</v>
      </c>
      <c r="D50" s="598">
        <f>IF(AND(ISNUMBER(VLOOKUP(B50,'Health Data'!$F$6:$H$25,2,FALSE)),$E$4=0.5),SUMIFS('Health Data'!$G$6:$G$25,'Health Data'!$F$6:$F$25,Dashboard!B50),IF(ISNUMBER(VLOOKUP(B50,'Health Data'!$F$6:$H$25,3,FALSE)),SUMIFS('Health Data'!$H$6:$H$25,'Health Data'!$F$6:$F$25,Dashboard!B50),SUMIFS('Health Data'!$G$6:$G$25,'Health Data'!$F$6:$F$25,Dashboard!B50)))</f>
        <v>1.7</v>
      </c>
      <c r="E50" s="141" t="s">
        <v>89</v>
      </c>
      <c r="F50" s="301">
        <f>VLOOKUP(B50,'Health Data'!$F$6:$K$25,6,FALSE)</f>
        <v>100</v>
      </c>
      <c r="G50" s="69">
        <f>IFERROR(D50/$H$10, "")</f>
        <v>2.6174093077237259</v>
      </c>
      <c r="H50" s="69">
        <f>IFERROR(D50/$H$11, "")</f>
        <v>4.1385263573468549</v>
      </c>
      <c r="I50" s="69">
        <f>IFERROR(D50/($H$10/$H$4),"")</f>
        <v>2617.4093077237258</v>
      </c>
      <c r="J50" s="93">
        <f>IFERROR(D50/($H$11/$H$4),"")</f>
        <v>4138.5263573468546</v>
      </c>
      <c r="L50" s="601" t="s">
        <v>138</v>
      </c>
      <c r="M50" s="598">
        <f>IF(AND(ISNUMBER(VLOOKUP(B50,'Health Data'!$F$6:$J$25,4,FALSE)),$M$4=0.5),SUMIFS('Health Data'!$I$6:$I$25,'Health Data'!$F$6:$F$25,Dashboard!B50),IF(ISNUMBER(VLOOKUP(B50,'Health Data'!$F$6:$J$25,5,FALSE)),SUMIFS('Health Data'!$J$6:$J$25,'Health Data'!$F$6:$F$25,Dashboard!B50),"N/A"))</f>
        <v>2.5</v>
      </c>
      <c r="N50" s="141" t="s">
        <v>89</v>
      </c>
      <c r="O50" s="301">
        <f>VLOOKUP(B50,'Health Data'!$F$6:$K$25,6,FALSE)</f>
        <v>100</v>
      </c>
      <c r="P50" s="69">
        <f>IFERROR(M50/$P$10, "")</f>
        <v>0.86079055938084847</v>
      </c>
      <c r="Q50" s="93">
        <f>IFERROR(M50/$P$12, "")</f>
        <v>8.6079055938084856</v>
      </c>
      <c r="V50" s="19"/>
      <c r="W50" s="19"/>
      <c r="X50" s="19"/>
      <c r="Y50" s="19"/>
      <c r="Z50" s="19"/>
    </row>
    <row r="51" spans="1:26" s="31" customFormat="1" ht="22.5" customHeight="1" thickBot="1" x14ac:dyDescent="0.4">
      <c r="B51" s="609"/>
      <c r="C51" s="602"/>
      <c r="D51" s="599"/>
      <c r="E51" s="140" t="s">
        <v>106</v>
      </c>
      <c r="F51" s="302">
        <f>VLOOKUP(B50,'Health Data'!$F$6:$K$25,6,FALSE)</f>
        <v>100</v>
      </c>
      <c r="G51" s="70">
        <f>IFERROR(D50/$H$12, "")</f>
        <v>7.513093580845597</v>
      </c>
      <c r="H51" s="70">
        <f>IFERROR(D50/$H$13, "")</f>
        <v>15.07017803858343</v>
      </c>
      <c r="I51" s="70">
        <f>IFERROR(D50/($H$12/$H$4),"")</f>
        <v>7513.093580845597</v>
      </c>
      <c r="J51" s="174">
        <f>IFERROR(D50/($H$13/$H$4),"")</f>
        <v>15070.178038583432</v>
      </c>
      <c r="L51" s="602"/>
      <c r="M51" s="599"/>
      <c r="N51" s="140" t="s">
        <v>106</v>
      </c>
      <c r="O51" s="302">
        <f>VLOOKUP(B50,'Health Data'!$F$6:$K$25,6,FALSE)</f>
        <v>100</v>
      </c>
      <c r="P51" s="70">
        <f>IFERROR(M50/$P$11,"")</f>
        <v>2.9326934174254493</v>
      </c>
      <c r="Q51" s="174">
        <f>IFERROR(M50/$P$13,"")</f>
        <v>29.326934174254493</v>
      </c>
      <c r="V51" s="19"/>
      <c r="W51" s="19"/>
      <c r="X51" s="19"/>
      <c r="Y51" s="19"/>
      <c r="Z51" s="19"/>
    </row>
    <row r="52" spans="1:26" s="31" customFormat="1" ht="22.5" customHeight="1" x14ac:dyDescent="0.35">
      <c r="B52" s="609" t="s">
        <v>139</v>
      </c>
      <c r="C52" s="601" t="s">
        <v>140</v>
      </c>
      <c r="D52" s="598">
        <f>IF(AND(ISNUMBER(VLOOKUP(B52,'Health Data'!$F$6:$H$25,2,FALSE)),$E$4=0.5),SUMIFS('Health Data'!$G$6:$G$25,'Health Data'!$F$6:$F$25,Dashboard!B52),IF(ISNUMBER(VLOOKUP(B52,'Health Data'!$F$6:$H$25,3,FALSE)),SUMIFS('Health Data'!$H$6:$H$25,'Health Data'!$F$6:$F$25,Dashboard!B52),SUMIFS('Health Data'!$G$6:$G$25,'Health Data'!$F$6:$F$25,Dashboard!B52)))</f>
        <v>3.3000000000000002E-2</v>
      </c>
      <c r="E52" s="141" t="s">
        <v>89</v>
      </c>
      <c r="F52" s="301">
        <f>VLOOKUP(B52,'Health Data'!$F$6:$K$25,6,FALSE)</f>
        <v>30</v>
      </c>
      <c r="G52" s="87">
        <f>IFERROR(D52/$H$10, "")</f>
        <v>5.0808533620519389E-2</v>
      </c>
      <c r="H52" s="87">
        <f>IFERROR(D52/$H$11, "")</f>
        <v>8.0336099877909545E-2</v>
      </c>
      <c r="I52" s="87">
        <f>IFERROR(D52/($H$10/$H$4),"")</f>
        <v>50.808533620519391</v>
      </c>
      <c r="J52" s="107">
        <f>IFERROR(D52/($H$11/$H$4),"")</f>
        <v>80.336099877909547</v>
      </c>
      <c r="L52" s="601" t="s">
        <v>140</v>
      </c>
      <c r="M52" s="598">
        <f>IF(AND(ISNUMBER(VLOOKUP(B52,'Health Data'!$F$6:$J$25,4,FALSE)),$M$4=0.5),SUMIFS('Health Data'!$I$6:$I$25,'Health Data'!$F$6:$F$25,Dashboard!B52),IF(ISNUMBER(VLOOKUP(B52,'Health Data'!$F$6:$J$25,5,FALSE)),SUMIFS('Health Data'!$J$6:$J$25,'Health Data'!$F$6:$F$25,Dashboard!B52),"N/A"))</f>
        <v>4.8000000000000001E-2</v>
      </c>
      <c r="N52" s="141" t="s">
        <v>89</v>
      </c>
      <c r="O52" s="301">
        <f>VLOOKUP(B52,'Health Data'!$F$6:$K$25,6,FALSE)</f>
        <v>30</v>
      </c>
      <c r="P52" s="87">
        <f>IFERROR(M52/$P$10, "")</f>
        <v>1.6527178740112291E-2</v>
      </c>
      <c r="Q52" s="107">
        <f>IFERROR(M52/$P$12, "")</f>
        <v>0.16527178740112292</v>
      </c>
      <c r="V52" s="19"/>
      <c r="W52" s="19"/>
      <c r="X52" s="19"/>
      <c r="Y52" s="19"/>
      <c r="Z52" s="19"/>
    </row>
    <row r="53" spans="1:26" s="31" customFormat="1" ht="22.5" customHeight="1" thickBot="1" x14ac:dyDescent="0.4">
      <c r="B53" s="609"/>
      <c r="C53" s="602"/>
      <c r="D53" s="599"/>
      <c r="E53" s="140" t="s">
        <v>106</v>
      </c>
      <c r="F53" s="302">
        <f>VLOOKUP(B52,'Health Data'!$F$6:$K$25,6,FALSE)</f>
        <v>30</v>
      </c>
      <c r="G53" s="298">
        <f>IFERROR(D52/$H$12, "")</f>
        <v>0.14584240480464983</v>
      </c>
      <c r="H53" s="298">
        <f>IFERROR(D52/$H$13, "")</f>
        <v>0.29253875016073722</v>
      </c>
      <c r="I53" s="298">
        <f>IFERROR(D52/($H$12/$H$4),"")</f>
        <v>145.84240480464985</v>
      </c>
      <c r="J53" s="299">
        <f>IFERROR(D52/($H$13/$H$4),"")</f>
        <v>292.53875016073721</v>
      </c>
      <c r="L53" s="602"/>
      <c r="M53" s="599"/>
      <c r="N53" s="140" t="s">
        <v>106</v>
      </c>
      <c r="O53" s="302">
        <f>VLOOKUP(B52,'Health Data'!$F$6:$K$25,6,FALSE)</f>
        <v>30</v>
      </c>
      <c r="P53" s="298">
        <f>IFERROR(M52/$P$11,"")</f>
        <v>5.6307713614568627E-2</v>
      </c>
      <c r="Q53" s="299">
        <f>IFERROR(M52/$P$13,"")</f>
        <v>0.56307713614568633</v>
      </c>
      <c r="V53" s="19"/>
      <c r="W53" s="19"/>
      <c r="X53" s="19"/>
      <c r="Y53" s="19"/>
      <c r="Z53" s="19"/>
    </row>
    <row r="54" spans="1:26" s="31" customFormat="1" ht="22.5" customHeight="1" thickBot="1" x14ac:dyDescent="0.4">
      <c r="B54" s="609" t="s">
        <v>141</v>
      </c>
      <c r="C54" s="607" t="s">
        <v>142</v>
      </c>
      <c r="D54" s="610">
        <f>IF(AND(ISNUMBER(FIND("12",C4)),$E$4=0.5),'Health Data'!G24,IF(AND(ISNUMBER(FIND("12",C4)),$E$4=0.99),'Health Data'!H24,IF(AND(ISERROR(FIND("12",C4)),$E$4=0.5),'Health Data'!G23,IF(AND(ISERROR(FIND("12",C4)),$E$4=0.99),'Health Data'!H23))))</f>
        <v>8.3000000000000004E-2</v>
      </c>
      <c r="E54" s="487" t="s">
        <v>89</v>
      </c>
      <c r="F54" s="490">
        <f>'Health Data'!K24</f>
        <v>30</v>
      </c>
      <c r="G54" s="87">
        <f>IFERROR(D54/$I$10, "")</f>
        <v>4.2597053439425346E-2</v>
      </c>
      <c r="H54" s="87">
        <f>IFERROR(D54/$I$11, "")</f>
        <v>6.7352487776429201E-2</v>
      </c>
      <c r="I54" s="87">
        <f>IFERROR(D54/($I$10/$H$4),"")</f>
        <v>42.597053439425345</v>
      </c>
      <c r="J54" s="107">
        <f>IFERROR(D54/($I$11/$H$4),"")</f>
        <v>67.352487776429214</v>
      </c>
      <c r="L54" s="601" t="s">
        <v>142</v>
      </c>
      <c r="M54" s="598">
        <f>IF(AND(ISNUMBER(FIND("12",C4)),$M$4=0.5),'Health Data'!I24,IF(AND(ISNUMBER(FIND("12",C4)),$M$4=0.99),'Health Data'!J24,IF(AND(ISERROR(FIND("12",C4)),$M$4=0.5),'Health Data'!I23,IF(AND(ISERROR(FIND("12",C4)),$M$4=0.99),'Health Data'!J23))))</f>
        <v>4.8000000000000001E-2</v>
      </c>
      <c r="N54" s="141" t="s">
        <v>89</v>
      </c>
      <c r="O54" s="490">
        <f>'Health Data'!K24</f>
        <v>30</v>
      </c>
      <c r="P54" s="87">
        <f>IFERROR(M54/$P$10, "")</f>
        <v>1.6527178740112291E-2</v>
      </c>
      <c r="Q54" s="107">
        <f>IFERROR(M54/$P$12, "")</f>
        <v>0.16527178740112292</v>
      </c>
      <c r="V54" s="19"/>
      <c r="W54" s="19"/>
      <c r="X54" s="19"/>
      <c r="Y54" s="19"/>
      <c r="Z54" s="19"/>
    </row>
    <row r="55" spans="1:26" s="31" customFormat="1" ht="22.5" customHeight="1" thickBot="1" x14ac:dyDescent="0.4">
      <c r="B55" s="609"/>
      <c r="C55" s="608"/>
      <c r="D55" s="611"/>
      <c r="E55" s="489" t="s">
        <v>106</v>
      </c>
      <c r="F55" s="490">
        <f>'Health Data'!K24</f>
        <v>30</v>
      </c>
      <c r="G55" s="298">
        <f>IFERROR(D54/$I$12, "")</f>
        <v>0.1222719151392519</v>
      </c>
      <c r="H55" s="298">
        <f>IFERROR(D54/$I$13, "")</f>
        <v>0.24525976023576954</v>
      </c>
      <c r="I55" s="298">
        <f>IFERROR(D54/($I$12/$H$4),"")</f>
        <v>122.27191513925189</v>
      </c>
      <c r="J55" s="299">
        <f>IFERROR(D54/($I$13/$H$4),"")</f>
        <v>245.25976023576953</v>
      </c>
      <c r="L55" s="602"/>
      <c r="M55" s="599"/>
      <c r="N55" s="140" t="s">
        <v>106</v>
      </c>
      <c r="O55" s="490">
        <f>'Health Data'!K24</f>
        <v>30</v>
      </c>
      <c r="P55" s="298">
        <f>IFERROR(M54/$P$11,"")</f>
        <v>5.6307713614568627E-2</v>
      </c>
      <c r="Q55" s="299">
        <f>IFERROR(M54/$P$13,"")</f>
        <v>0.56307713614568633</v>
      </c>
      <c r="V55" s="19"/>
      <c r="W55" s="19"/>
      <c r="X55" s="19"/>
      <c r="Y55" s="19"/>
      <c r="Z55" s="19"/>
    </row>
    <row r="56" spans="1:26" s="30" customFormat="1" ht="15" thickBot="1" x14ac:dyDescent="0.4">
      <c r="B56" s="554"/>
      <c r="C56" s="565"/>
      <c r="D56" s="17"/>
      <c r="E56" s="42"/>
      <c r="F56" s="43"/>
      <c r="L56" s="565"/>
      <c r="M56" s="565"/>
      <c r="N56" s="565"/>
      <c r="O56" s="42"/>
      <c r="P56" s="17"/>
      <c r="Q56" s="17"/>
      <c r="R56" s="43"/>
      <c r="V56" s="19"/>
      <c r="W56" s="19"/>
      <c r="X56" s="19"/>
      <c r="Y56" s="19"/>
      <c r="Z56" s="19"/>
    </row>
    <row r="57" spans="1:26" s="30" customFormat="1" ht="26.25" customHeight="1" thickBot="1" x14ac:dyDescent="0.4">
      <c r="B57" s="16"/>
      <c r="C57" s="28" t="s">
        <v>143</v>
      </c>
      <c r="D57" s="19"/>
      <c r="E57" s="75"/>
      <c r="F57" s="17"/>
      <c r="G57" s="605" t="s">
        <v>144</v>
      </c>
      <c r="H57" s="606"/>
      <c r="I57" s="596" t="str">
        <f>_xlfn.CONCAT("Respirator Scenario: APF of ",$H$4)</f>
        <v>Respirator Scenario: APF of 1000</v>
      </c>
      <c r="J57" s="597"/>
      <c r="L57" s="28" t="s">
        <v>143</v>
      </c>
      <c r="M57" s="28"/>
      <c r="O57" s="15"/>
      <c r="P57" s="557" t="s">
        <v>144</v>
      </c>
      <c r="Q57" s="552" t="s">
        <v>100</v>
      </c>
      <c r="R57" s="43"/>
      <c r="V57" s="19"/>
      <c r="W57" s="19"/>
      <c r="X57" s="19"/>
      <c r="Y57" s="19"/>
      <c r="Z57" s="19"/>
    </row>
    <row r="58" spans="1:26" s="30" customFormat="1" ht="15" thickBot="1" x14ac:dyDescent="0.35">
      <c r="B58" s="16"/>
      <c r="C58" s="71" t="s">
        <v>145</v>
      </c>
      <c r="D58" s="91" t="s">
        <v>146</v>
      </c>
      <c r="E58" s="91" t="s">
        <v>68</v>
      </c>
      <c r="F58" s="310" t="s">
        <v>147</v>
      </c>
      <c r="G58" s="72" t="s">
        <v>148</v>
      </c>
      <c r="H58" s="72" t="s">
        <v>149</v>
      </c>
      <c r="I58" s="72" t="s">
        <v>148</v>
      </c>
      <c r="J58" s="88" t="s">
        <v>149</v>
      </c>
      <c r="K58" s="17"/>
      <c r="L58" s="54" t="s">
        <v>145</v>
      </c>
      <c r="M58" s="158" t="s">
        <v>150</v>
      </c>
      <c r="N58" s="157" t="s">
        <v>68</v>
      </c>
      <c r="O58" s="332" t="s">
        <v>147</v>
      </c>
      <c r="P58" s="556" t="s">
        <v>151</v>
      </c>
      <c r="Q58" s="476" t="str">
        <f>_xlfn.CONCAT("Gloves: ",$I$4)</f>
        <v>Gloves: 10</v>
      </c>
      <c r="R58" s="65"/>
      <c r="V58" s="19"/>
      <c r="W58" s="19"/>
      <c r="X58" s="19"/>
      <c r="Y58" s="19"/>
      <c r="Z58" s="19"/>
    </row>
    <row r="59" spans="1:26" s="30" customFormat="1" ht="33" customHeight="1" x14ac:dyDescent="0.35">
      <c r="B59" s="609" t="s">
        <v>152</v>
      </c>
      <c r="C59" s="592" t="s">
        <v>153</v>
      </c>
      <c r="D59" s="600">
        <f>VLOOKUP($B59,'Health Data'!$G$6:$M$28, 6)</f>
        <v>2.1999999999999999E-2</v>
      </c>
      <c r="E59" s="193" t="s">
        <v>89</v>
      </c>
      <c r="F59" s="383" t="s">
        <v>154</v>
      </c>
      <c r="G59" s="306">
        <f>IFERROR(J10*D59, "")</f>
        <v>5.7862409392873647E-3</v>
      </c>
      <c r="H59" s="306">
        <f>IFERROR(J11*D59, "")</f>
        <v>3.5865676455014862E-3</v>
      </c>
      <c r="I59" s="306">
        <f>IFERROR(D59*($J$10/$H$4),"")</f>
        <v>5.7862409392873654E-6</v>
      </c>
      <c r="J59" s="307">
        <f>IFERROR(D59*($J$11/$H$4),"")</f>
        <v>3.5865676455014862E-6</v>
      </c>
      <c r="L59" s="592" t="s">
        <v>153</v>
      </c>
      <c r="M59" s="594">
        <f>VLOOKUP($B59,'Health Data'!$G$6:$M$28, 7)</f>
        <v>4.6399999999999997E-2</v>
      </c>
      <c r="N59" s="141" t="s">
        <v>89</v>
      </c>
      <c r="O59" s="383" t="s">
        <v>154</v>
      </c>
      <c r="P59" s="306">
        <f>IFERROR($Q$10*M59, "")</f>
        <v>6.9107611414752926E-2</v>
      </c>
      <c r="Q59" s="307">
        <f>IFERROR($Q$12*M59, "")</f>
        <v>6.9107611414752921E-3</v>
      </c>
      <c r="R59" s="15"/>
      <c r="V59" s="19"/>
      <c r="W59" s="19"/>
      <c r="X59" s="19"/>
      <c r="Y59" s="19"/>
      <c r="Z59" s="19"/>
    </row>
    <row r="60" spans="1:26" s="30" customFormat="1" ht="15" thickBot="1" x14ac:dyDescent="0.4">
      <c r="A60" s="19"/>
      <c r="B60" s="609"/>
      <c r="C60" s="593"/>
      <c r="D60" s="595"/>
      <c r="E60" s="194" t="s">
        <v>92</v>
      </c>
      <c r="F60" s="384" t="s">
        <v>154</v>
      </c>
      <c r="G60" s="308">
        <f>IFERROR(J12*D59, "")</f>
        <v>1.8519958323732972E-3</v>
      </c>
      <c r="H60" s="308">
        <f>IFERROR(J13*D59, "")</f>
        <v>9.3149349521191556E-4</v>
      </c>
      <c r="I60" s="308">
        <f>IFERROR(D59*($J$12/$H$4),"")</f>
        <v>1.8519958323732973E-6</v>
      </c>
      <c r="J60" s="309">
        <f>IFERROR(D59*($J$13/$H$4),"")</f>
        <v>9.3149349521191548E-7</v>
      </c>
      <c r="L60" s="593"/>
      <c r="M60" s="595"/>
      <c r="N60" s="140" t="s">
        <v>92</v>
      </c>
      <c r="O60" s="384" t="s">
        <v>154</v>
      </c>
      <c r="P60" s="308">
        <f>IFERROR($Q$11*M59, "")</f>
        <v>1.5720212630693797E-2</v>
      </c>
      <c r="Q60" s="309">
        <f>IFERROR($Q$13*M59, "")</f>
        <v>1.5720212630693795E-3</v>
      </c>
      <c r="V60" s="19"/>
      <c r="W60" s="19"/>
      <c r="X60" s="19"/>
      <c r="Y60" s="19"/>
      <c r="Z60" s="19"/>
    </row>
    <row r="61" spans="1:26" s="19" customFormat="1" x14ac:dyDescent="0.35">
      <c r="B61" s="27"/>
      <c r="C61" s="17"/>
      <c r="D61" s="16"/>
      <c r="E61" s="17"/>
      <c r="F61" s="17"/>
      <c r="G61" s="17"/>
      <c r="H61" s="17"/>
      <c r="I61" s="17"/>
      <c r="J61" s="17"/>
      <c r="K61" s="30"/>
      <c r="L61" s="17"/>
      <c r="M61" s="17"/>
      <c r="N61" s="17"/>
      <c r="O61" s="460"/>
      <c r="P61" s="17"/>
    </row>
    <row r="62" spans="1:26" s="19" customFormat="1" x14ac:dyDescent="0.35">
      <c r="A62" s="30"/>
      <c r="B62" s="16"/>
      <c r="C62" s="17"/>
      <c r="D62" s="16"/>
      <c r="E62" s="17"/>
      <c r="F62" s="17"/>
      <c r="G62" s="17"/>
      <c r="H62" s="17"/>
      <c r="I62" s="17"/>
      <c r="J62" s="17"/>
      <c r="K62" s="30"/>
      <c r="L62" s="17"/>
      <c r="M62" s="17"/>
      <c r="N62" s="17"/>
      <c r="O62" s="17"/>
      <c r="Q62" s="30"/>
      <c r="R62" s="17"/>
    </row>
    <row r="63" spans="1:26" s="30" customFormat="1" x14ac:dyDescent="0.35">
      <c r="B63" s="16"/>
      <c r="C63" s="17"/>
      <c r="D63" s="16"/>
      <c r="E63" s="17"/>
      <c r="F63" s="17"/>
      <c r="G63" s="17"/>
      <c r="H63" s="17"/>
      <c r="I63" s="17"/>
      <c r="J63" s="17"/>
      <c r="L63" s="17"/>
      <c r="M63" s="17"/>
      <c r="N63" s="17"/>
      <c r="O63" s="17"/>
      <c r="P63" s="17"/>
      <c r="Q63" s="19"/>
    </row>
    <row r="64" spans="1:26" s="30" customFormat="1" x14ac:dyDescent="0.35">
      <c r="A64" s="19"/>
      <c r="B64" s="16"/>
      <c r="C64" s="17"/>
      <c r="D64" s="16"/>
      <c r="E64" s="17"/>
      <c r="F64" s="17"/>
      <c r="G64" s="17"/>
      <c r="H64" s="17"/>
      <c r="I64" s="17"/>
      <c r="J64" s="17"/>
      <c r="K64" s="19"/>
      <c r="L64" s="17"/>
      <c r="M64" s="17"/>
      <c r="N64" s="17"/>
      <c r="O64" s="17"/>
      <c r="P64" s="17"/>
      <c r="Q64" s="19"/>
    </row>
    <row r="65" spans="1:17" s="19" customFormat="1" x14ac:dyDescent="0.35">
      <c r="B65" s="16"/>
      <c r="C65" s="17"/>
      <c r="D65" s="16"/>
      <c r="E65" s="17"/>
      <c r="F65" s="17"/>
      <c r="G65" s="17"/>
      <c r="H65" s="17"/>
      <c r="I65" s="17"/>
      <c r="J65" s="17"/>
      <c r="L65" s="17"/>
      <c r="M65" s="17"/>
      <c r="N65" s="17"/>
      <c r="O65" s="17"/>
      <c r="P65" s="17"/>
      <c r="Q65" s="17"/>
    </row>
    <row r="66" spans="1:17" s="19" customFormat="1" x14ac:dyDescent="0.35">
      <c r="A66" s="17"/>
      <c r="B66" s="16"/>
      <c r="C66" s="17"/>
      <c r="D66" s="16"/>
      <c r="E66" s="17"/>
      <c r="F66" s="17"/>
      <c r="G66" s="17"/>
      <c r="H66" s="17"/>
      <c r="I66" s="17"/>
      <c r="J66" s="17"/>
      <c r="K66" s="17"/>
      <c r="L66" s="17"/>
      <c r="M66" s="17"/>
      <c r="N66" s="17"/>
      <c r="O66" s="17"/>
      <c r="P66" s="17"/>
      <c r="Q66" s="17"/>
    </row>
    <row r="69" spans="1:17" x14ac:dyDescent="0.35">
      <c r="H69" s="19"/>
      <c r="I69" s="19"/>
      <c r="J69" s="19"/>
    </row>
    <row r="75" spans="1:17" x14ac:dyDescent="0.35">
      <c r="G75" s="19"/>
    </row>
    <row r="76" spans="1:17" x14ac:dyDescent="0.35">
      <c r="L76" s="19"/>
      <c r="M76" s="19"/>
      <c r="N76" s="19"/>
      <c r="O76" s="19"/>
    </row>
    <row r="77" spans="1:17" x14ac:dyDescent="0.35">
      <c r="C77" s="19"/>
      <c r="D77" s="27"/>
      <c r="E77" s="19"/>
      <c r="F77" s="19"/>
    </row>
    <row r="79" spans="1:17" x14ac:dyDescent="0.35">
      <c r="B79" s="27"/>
      <c r="H79" s="33"/>
      <c r="I79" s="33"/>
      <c r="J79" s="33"/>
    </row>
    <row r="80" spans="1:17" x14ac:dyDescent="0.35">
      <c r="B80" s="40"/>
      <c r="H80" s="33"/>
      <c r="I80" s="33"/>
      <c r="J80" s="33"/>
      <c r="P80" s="19"/>
    </row>
    <row r="81" spans="1:17" x14ac:dyDescent="0.35">
      <c r="B81" s="40"/>
      <c r="H81" s="32"/>
      <c r="I81" s="32"/>
      <c r="J81" s="32"/>
    </row>
    <row r="82" spans="1:17" x14ac:dyDescent="0.35">
      <c r="B82" s="40"/>
      <c r="H82" s="32"/>
      <c r="I82" s="32"/>
      <c r="J82" s="32"/>
      <c r="Q82" s="19"/>
    </row>
    <row r="83" spans="1:17" x14ac:dyDescent="0.35">
      <c r="A83" s="19"/>
      <c r="B83" s="40"/>
      <c r="K83" s="19"/>
    </row>
    <row r="84" spans="1:17" s="19" customFormat="1" x14ac:dyDescent="0.35">
      <c r="A84" s="17"/>
      <c r="B84" s="40"/>
      <c r="C84" s="17"/>
      <c r="D84" s="16"/>
      <c r="E84" s="17"/>
      <c r="F84" s="17"/>
      <c r="G84" s="17"/>
      <c r="H84" s="17"/>
      <c r="I84" s="17"/>
      <c r="J84" s="17"/>
      <c r="K84" s="17"/>
      <c r="L84" s="17"/>
      <c r="M84" s="17"/>
      <c r="N84" s="17"/>
      <c r="O84" s="17"/>
      <c r="P84" s="17"/>
      <c r="Q84" s="17"/>
    </row>
    <row r="85" spans="1:17" x14ac:dyDescent="0.35">
      <c r="B85" s="40"/>
      <c r="G85" s="33"/>
    </row>
    <row r="86" spans="1:17" x14ac:dyDescent="0.35">
      <c r="B86" s="40"/>
      <c r="C86" s="39"/>
      <c r="D86" s="40"/>
      <c r="E86" s="39"/>
      <c r="L86" s="32"/>
      <c r="M86" s="32"/>
      <c r="N86" s="32"/>
      <c r="O86" s="32"/>
    </row>
    <row r="87" spans="1:17" x14ac:dyDescent="0.35">
      <c r="B87" s="40"/>
      <c r="E87" s="41"/>
      <c r="F87" s="32"/>
      <c r="L87" s="32"/>
      <c r="M87" s="32"/>
      <c r="N87" s="32"/>
      <c r="O87" s="32"/>
    </row>
    <row r="89" spans="1:17" x14ac:dyDescent="0.35">
      <c r="N89" s="16"/>
    </row>
    <row r="90" spans="1:17" ht="35.25" customHeight="1" x14ac:dyDescent="0.35">
      <c r="C90" s="96" t="s">
        <v>155</v>
      </c>
      <c r="D90" s="96" t="s">
        <v>156</v>
      </c>
      <c r="E90" s="196" t="str">
        <f>_xlfn.CONCAT("Cancer Risk with APF of ",$H$4)</f>
        <v>Cancer Risk with APF of 1000</v>
      </c>
      <c r="L90" s="96" t="s">
        <v>157</v>
      </c>
      <c r="M90" s="96" t="s">
        <v>89</v>
      </c>
      <c r="N90" s="96" t="s">
        <v>92</v>
      </c>
    </row>
    <row r="91" spans="1:17" x14ac:dyDescent="0.35">
      <c r="C91" s="99" t="s">
        <v>158</v>
      </c>
      <c r="D91" s="94">
        <f>H60</f>
        <v>9.3149349521191556E-4</v>
      </c>
      <c r="E91" s="94">
        <f>J60</f>
        <v>9.3149349521191548E-7</v>
      </c>
      <c r="L91" s="99" t="str">
        <f>P58</f>
        <v>No Gloves</v>
      </c>
      <c r="M91" s="94">
        <f>P59</f>
        <v>6.9107611414752926E-2</v>
      </c>
      <c r="N91" s="94">
        <f>P60</f>
        <v>1.5720212630693797E-2</v>
      </c>
    </row>
    <row r="92" spans="1:17" x14ac:dyDescent="0.35">
      <c r="C92" s="99" t="s">
        <v>159</v>
      </c>
      <c r="D92" s="94">
        <f>H59</f>
        <v>3.5865676455014862E-3</v>
      </c>
      <c r="E92" s="94">
        <f>J59</f>
        <v>3.5865676455014862E-6</v>
      </c>
      <c r="L92" s="283" t="str">
        <f>Q58</f>
        <v>Gloves: 10</v>
      </c>
      <c r="M92" s="94">
        <f>Q59</f>
        <v>6.9107611414752921E-3</v>
      </c>
      <c r="N92" s="94">
        <f>Q60</f>
        <v>1.5720212630693795E-3</v>
      </c>
    </row>
    <row r="93" spans="1:17" x14ac:dyDescent="0.35">
      <c r="C93" s="99" t="s">
        <v>160</v>
      </c>
      <c r="D93" s="94">
        <f>G60</f>
        <v>1.8519958323732972E-3</v>
      </c>
      <c r="E93" s="94">
        <f>I60</f>
        <v>1.8519958323732973E-6</v>
      </c>
    </row>
    <row r="94" spans="1:17" x14ac:dyDescent="0.35">
      <c r="C94" s="99" t="s">
        <v>161</v>
      </c>
      <c r="D94" s="94">
        <f>G59</f>
        <v>5.7862409392873647E-3</v>
      </c>
      <c r="E94" s="94">
        <f>I59</f>
        <v>5.7862409392873654E-6</v>
      </c>
    </row>
  </sheetData>
  <sheetProtection algorithmName="SHA-512" hashValue="GEaSuG+j/s3R7+ZRzdnoNtySglKkKh6VLB9dgyZ175WoaABGYMp/ItvxJafzgi/i+Ch3S2r1TE/tbMnVp5RcNA==" saltValue="MTz9N4kLGEscyZFBmKsxhw==" spinCount="100000" sheet="1" objects="1" scenarios="1"/>
  <dataConsolidate link="1"/>
  <mergeCells count="127">
    <mergeCell ref="B54:B55"/>
    <mergeCell ref="D54:D55"/>
    <mergeCell ref="L54:L55"/>
    <mergeCell ref="M54:M55"/>
    <mergeCell ref="L26:L27"/>
    <mergeCell ref="M26:M27"/>
    <mergeCell ref="B59:B60"/>
    <mergeCell ref="C8:C9"/>
    <mergeCell ref="D8:D9"/>
    <mergeCell ref="D10:D11"/>
    <mergeCell ref="D12:D13"/>
    <mergeCell ref="M8:M9"/>
    <mergeCell ref="L12:L13"/>
    <mergeCell ref="L10:L11"/>
    <mergeCell ref="B32:B33"/>
    <mergeCell ref="C16:C17"/>
    <mergeCell ref="G16:H16"/>
    <mergeCell ref="G30:H30"/>
    <mergeCell ref="L15:O15"/>
    <mergeCell ref="N16:N17"/>
    <mergeCell ref="B18:B19"/>
    <mergeCell ref="C18:C19"/>
    <mergeCell ref="B20:B21"/>
    <mergeCell ref="C20:C21"/>
    <mergeCell ref="B22:B23"/>
    <mergeCell ref="C22:C23"/>
    <mergeCell ref="D32:D33"/>
    <mergeCell ref="C32:C33"/>
    <mergeCell ref="D18:D19"/>
    <mergeCell ref="D20:D21"/>
    <mergeCell ref="D2:E2"/>
    <mergeCell ref="G5:H5"/>
    <mergeCell ref="B30:B31"/>
    <mergeCell ref="C30:C31"/>
    <mergeCell ref="B24:B25"/>
    <mergeCell ref="C24:C25"/>
    <mergeCell ref="O30:O31"/>
    <mergeCell ref="L8:L9"/>
    <mergeCell ref="L30:L31"/>
    <mergeCell ref="M30:M31"/>
    <mergeCell ref="F16:F17"/>
    <mergeCell ref="L16:L17"/>
    <mergeCell ref="M16:M17"/>
    <mergeCell ref="O16:O17"/>
    <mergeCell ref="L18:L19"/>
    <mergeCell ref="L20:L21"/>
    <mergeCell ref="L22:L23"/>
    <mergeCell ref="L24:L25"/>
    <mergeCell ref="I16:J16"/>
    <mergeCell ref="N30:N31"/>
    <mergeCell ref="L2:M2"/>
    <mergeCell ref="I30:J30"/>
    <mergeCell ref="H2:I2"/>
    <mergeCell ref="M18:M19"/>
    <mergeCell ref="M20:M21"/>
    <mergeCell ref="F30:F31"/>
    <mergeCell ref="D16:D17"/>
    <mergeCell ref="E16:E17"/>
    <mergeCell ref="E30:E31"/>
    <mergeCell ref="D22:D23"/>
    <mergeCell ref="D24:D25"/>
    <mergeCell ref="D30:D31"/>
    <mergeCell ref="B34:B35"/>
    <mergeCell ref="C34:C35"/>
    <mergeCell ref="B36:B37"/>
    <mergeCell ref="C36:C37"/>
    <mergeCell ref="C26:C27"/>
    <mergeCell ref="D26:D27"/>
    <mergeCell ref="B26:B27"/>
    <mergeCell ref="D50:D51"/>
    <mergeCell ref="B38:B39"/>
    <mergeCell ref="C38:C39"/>
    <mergeCell ref="B28:B29"/>
    <mergeCell ref="B52:B53"/>
    <mergeCell ref="C48:C49"/>
    <mergeCell ref="B46:B47"/>
    <mergeCell ref="C42:C43"/>
    <mergeCell ref="B48:B49"/>
    <mergeCell ref="C44:C45"/>
    <mergeCell ref="B50:B51"/>
    <mergeCell ref="C46:C47"/>
    <mergeCell ref="B40:B41"/>
    <mergeCell ref="C52:C53"/>
    <mergeCell ref="B42:B43"/>
    <mergeCell ref="C50:C51"/>
    <mergeCell ref="B44:B45"/>
    <mergeCell ref="C40:C41"/>
    <mergeCell ref="C59:C60"/>
    <mergeCell ref="D59:D60"/>
    <mergeCell ref="L32:L33"/>
    <mergeCell ref="L34:L35"/>
    <mergeCell ref="L36:L37"/>
    <mergeCell ref="L38:L39"/>
    <mergeCell ref="L40:L41"/>
    <mergeCell ref="L42:L43"/>
    <mergeCell ref="L44:L45"/>
    <mergeCell ref="L46:L47"/>
    <mergeCell ref="L48:L49"/>
    <mergeCell ref="L50:L51"/>
    <mergeCell ref="L52:L53"/>
    <mergeCell ref="D52:D53"/>
    <mergeCell ref="D34:D35"/>
    <mergeCell ref="D36:D37"/>
    <mergeCell ref="D38:D39"/>
    <mergeCell ref="D40:D41"/>
    <mergeCell ref="D42:D43"/>
    <mergeCell ref="D44:D45"/>
    <mergeCell ref="D46:D47"/>
    <mergeCell ref="D48:D49"/>
    <mergeCell ref="G57:H57"/>
    <mergeCell ref="C54:C55"/>
    <mergeCell ref="L59:L60"/>
    <mergeCell ref="M59:M60"/>
    <mergeCell ref="I57:J57"/>
    <mergeCell ref="M22:M23"/>
    <mergeCell ref="M24:M25"/>
    <mergeCell ref="M32:M33"/>
    <mergeCell ref="M34:M35"/>
    <mergeCell ref="M36:M37"/>
    <mergeCell ref="M38:M39"/>
    <mergeCell ref="M40:M41"/>
    <mergeCell ref="M42:M43"/>
    <mergeCell ref="M44:M45"/>
    <mergeCell ref="M46:M47"/>
    <mergeCell ref="M48:M49"/>
    <mergeCell ref="M50:M51"/>
    <mergeCell ref="M52:M53"/>
  </mergeCells>
  <phoneticPr fontId="43" type="noConversion"/>
  <conditionalFormatting sqref="G32:J44 G18:J18 G20:J27 G19 I19:J19 G46:J55 G45 I45:J45">
    <cfRule type="cellIs" dxfId="361" priority="107" operator="lessThan">
      <formula>$F18</formula>
    </cfRule>
    <cfRule type="cellIs" dxfId="360" priority="108" operator="greaterThanOrEqual">
      <formula>$F18</formula>
    </cfRule>
  </conditionalFormatting>
  <conditionalFormatting sqref="P32:Q55 P18:Q27">
    <cfRule type="cellIs" dxfId="359" priority="92" operator="lessThan">
      <formula>$O18</formula>
    </cfRule>
    <cfRule type="cellIs" dxfId="358" priority="93" operator="greaterThanOrEqual">
      <formula>$O18</formula>
    </cfRule>
  </conditionalFormatting>
  <conditionalFormatting sqref="P59:Q60 G59:J60">
    <cfRule type="cellIs" dxfId="357" priority="79" operator="greaterThanOrEqual">
      <formula>0.0001</formula>
    </cfRule>
    <cfRule type="cellIs" dxfId="356" priority="81" operator="lessThan">
      <formula>0.0001</formula>
    </cfRule>
  </conditionalFormatting>
  <conditionalFormatting sqref="O10:Q13">
    <cfRule type="cellIs" dxfId="355" priority="73" operator="between">
      <formula>1</formula>
      <formula>0.01</formula>
    </cfRule>
  </conditionalFormatting>
  <conditionalFormatting sqref="E10:F13 H10:J13">
    <cfRule type="cellIs" priority="71" stopIfTrue="1" operator="equal">
      <formula>0</formula>
    </cfRule>
  </conditionalFormatting>
  <conditionalFormatting sqref="D18:D19">
    <cfRule type="cellIs" dxfId="354" priority="67" operator="between">
      <formula>1</formula>
      <formula>0.01</formula>
    </cfRule>
    <cfRule type="containsBlanks" dxfId="353" priority="68" stopIfTrue="1">
      <formula>LEN(TRIM(D18))=0</formula>
    </cfRule>
    <cfRule type="cellIs" dxfId="352" priority="69" operator="lessThanOrEqual">
      <formula>0.1</formula>
    </cfRule>
    <cfRule type="cellIs" dxfId="351" priority="70" operator="greaterThanOrEqual">
      <formula>1</formula>
    </cfRule>
  </conditionalFormatting>
  <conditionalFormatting sqref="D20:D25">
    <cfRule type="containsBlanks" dxfId="350" priority="63" stopIfTrue="1">
      <formula>LEN(TRIM(D20))=0</formula>
    </cfRule>
    <cfRule type="cellIs" dxfId="349" priority="64" operator="lessThanOrEqual">
      <formula>0.1</formula>
    </cfRule>
    <cfRule type="cellIs" dxfId="348" priority="65" operator="greaterThanOrEqual">
      <formula>1</formula>
    </cfRule>
    <cfRule type="cellIs" dxfId="347" priority="66" operator="between">
      <formula>1</formula>
      <formula>0.01</formula>
    </cfRule>
  </conditionalFormatting>
  <conditionalFormatting sqref="D32:D33">
    <cfRule type="cellIs" dxfId="346" priority="59" operator="between">
      <formula>1</formula>
      <formula>0.01</formula>
    </cfRule>
    <cfRule type="containsBlanks" dxfId="345" priority="60" stopIfTrue="1">
      <formula>LEN(TRIM(D32))=0</formula>
    </cfRule>
    <cfRule type="cellIs" dxfId="344" priority="61" operator="lessThanOrEqual">
      <formula>0.1</formula>
    </cfRule>
    <cfRule type="cellIs" dxfId="343" priority="62" operator="greaterThanOrEqual">
      <formula>1</formula>
    </cfRule>
  </conditionalFormatting>
  <conditionalFormatting sqref="D34:D55">
    <cfRule type="containsBlanks" dxfId="342" priority="55" stopIfTrue="1">
      <formula>LEN(TRIM(D34))=0</formula>
    </cfRule>
    <cfRule type="cellIs" dxfId="341" priority="56" operator="lessThanOrEqual">
      <formula>0.1</formula>
    </cfRule>
    <cfRule type="cellIs" dxfId="340" priority="57" operator="greaterThanOrEqual">
      <formula>1</formula>
    </cfRule>
    <cfRule type="cellIs" dxfId="339" priority="58" operator="between">
      <formula>1</formula>
      <formula>0.01</formula>
    </cfRule>
  </conditionalFormatting>
  <conditionalFormatting sqref="M34:M55">
    <cfRule type="containsBlanks" dxfId="338" priority="39" stopIfTrue="1">
      <formula>LEN(TRIM(M34))=0</formula>
    </cfRule>
    <cfRule type="cellIs" dxfId="337" priority="40" operator="lessThanOrEqual">
      <formula>0.1</formula>
    </cfRule>
    <cfRule type="cellIs" dxfId="336" priority="41" operator="greaterThanOrEqual">
      <formula>1</formula>
    </cfRule>
    <cfRule type="cellIs" dxfId="335" priority="42" operator="between">
      <formula>1</formula>
      <formula>0.01</formula>
    </cfRule>
  </conditionalFormatting>
  <conditionalFormatting sqref="M18:M19">
    <cfRule type="cellIs" dxfId="334" priority="51" operator="between">
      <formula>1</formula>
      <formula>0.01</formula>
    </cfRule>
    <cfRule type="containsBlanks" dxfId="333" priority="52" stopIfTrue="1">
      <formula>LEN(TRIM(M18))=0</formula>
    </cfRule>
    <cfRule type="cellIs" dxfId="332" priority="53" operator="lessThanOrEqual">
      <formula>0.1</formula>
    </cfRule>
    <cfRule type="cellIs" dxfId="331" priority="54" operator="greaterThanOrEqual">
      <formula>1</formula>
    </cfRule>
  </conditionalFormatting>
  <conditionalFormatting sqref="M20:M27">
    <cfRule type="containsBlanks" dxfId="330" priority="47" stopIfTrue="1">
      <formula>LEN(TRIM(M20))=0</formula>
    </cfRule>
    <cfRule type="cellIs" dxfId="329" priority="48" operator="lessThanOrEqual">
      <formula>0.1</formula>
    </cfRule>
    <cfRule type="cellIs" dxfId="328" priority="49" operator="greaterThanOrEqual">
      <formula>1</formula>
    </cfRule>
    <cfRule type="cellIs" dxfId="327" priority="50" operator="between">
      <formula>1</formula>
      <formula>0.01</formula>
    </cfRule>
  </conditionalFormatting>
  <conditionalFormatting sqref="M32:M33">
    <cfRule type="cellIs" dxfId="326" priority="43" operator="between">
      <formula>1</formula>
      <formula>0.01</formula>
    </cfRule>
    <cfRule type="containsBlanks" dxfId="325" priority="44" stopIfTrue="1">
      <formula>LEN(TRIM(M32))=0</formula>
    </cfRule>
    <cfRule type="cellIs" dxfId="324" priority="45" operator="lessThanOrEqual">
      <formula>0.1</formula>
    </cfRule>
    <cfRule type="cellIs" dxfId="323" priority="46" operator="greaterThanOrEqual">
      <formula>1</formula>
    </cfRule>
  </conditionalFormatting>
  <conditionalFormatting sqref="D26:D27">
    <cfRule type="containsBlanks" dxfId="322" priority="35" stopIfTrue="1">
      <formula>LEN(TRIM(D26))=0</formula>
    </cfRule>
    <cfRule type="cellIs" dxfId="321" priority="36" operator="lessThanOrEqual">
      <formula>0.1</formula>
    </cfRule>
    <cfRule type="cellIs" dxfId="320" priority="37" operator="greaterThanOrEqual">
      <formula>1</formula>
    </cfRule>
    <cfRule type="cellIs" dxfId="319" priority="38" operator="between">
      <formula>1</formula>
      <formula>0.01</formula>
    </cfRule>
  </conditionalFormatting>
  <conditionalFormatting sqref="G10:G13">
    <cfRule type="cellIs" priority="25" stopIfTrue="1" operator="equal">
      <formula>0</formula>
    </cfRule>
  </conditionalFormatting>
  <conditionalFormatting sqref="G10:G13">
    <cfRule type="cellIs" dxfId="318" priority="26" operator="between">
      <formula>1</formula>
      <formula>0.01</formula>
    </cfRule>
    <cfRule type="containsBlanks" dxfId="317" priority="27" stopIfTrue="1">
      <formula>LEN(TRIM(G10))=0</formula>
    </cfRule>
    <cfRule type="cellIs" dxfId="316" priority="28" operator="lessThanOrEqual">
      <formula>0.1</formula>
    </cfRule>
    <cfRule type="cellIs" dxfId="315" priority="29" operator="greaterThanOrEqual">
      <formula>1</formula>
    </cfRule>
  </conditionalFormatting>
  <conditionalFormatting sqref="N10:Q13 D59 M59 G59:J60 P59:Q60 G32:J44 P32:Q55 G18:J18 P18:Q27 E10:J13 G20:J27 G19 I19:J19 G46:J55 G45 I45:J45">
    <cfRule type="containsBlanks" dxfId="314" priority="72" stopIfTrue="1">
      <formula>LEN(TRIM(D10))=0</formula>
    </cfRule>
    <cfRule type="cellIs" dxfId="313" priority="74" operator="between">
      <formula>1</formula>
      <formula>0.1</formula>
    </cfRule>
    <cfRule type="cellIs" dxfId="312" priority="76" operator="lessThanOrEqual">
      <formula>0.1</formula>
    </cfRule>
    <cfRule type="cellIs" dxfId="311" priority="77" operator="greaterThanOrEqual">
      <formula>1</formula>
    </cfRule>
  </conditionalFormatting>
  <conditionalFormatting sqref="H19">
    <cfRule type="cellIs" dxfId="310" priority="11" operator="lessThan">
      <formula>$F19</formula>
    </cfRule>
    <cfRule type="cellIs" dxfId="309" priority="12" operator="greaterThanOrEqual">
      <formula>$F19</formula>
    </cfRule>
  </conditionalFormatting>
  <conditionalFormatting sqref="H19">
    <cfRule type="containsBlanks" dxfId="308" priority="7" stopIfTrue="1">
      <formula>LEN(TRIM(H19))=0</formula>
    </cfRule>
    <cfRule type="cellIs" dxfId="307" priority="8" operator="between">
      <formula>1</formula>
      <formula>0.1</formula>
    </cfRule>
    <cfRule type="cellIs" dxfId="306" priority="9" operator="lessThanOrEqual">
      <formula>0.1</formula>
    </cfRule>
    <cfRule type="cellIs" dxfId="305" priority="10" operator="greaterThanOrEqual">
      <formula>1</formula>
    </cfRule>
  </conditionalFormatting>
  <conditionalFormatting sqref="H45">
    <cfRule type="containsBlanks" dxfId="304" priority="1" stopIfTrue="1">
      <formula>LEN(TRIM(H45))=0</formula>
    </cfRule>
    <cfRule type="cellIs" dxfId="303" priority="2" operator="between">
      <formula>1</formula>
      <formula>0.1</formula>
    </cfRule>
    <cfRule type="cellIs" dxfId="302" priority="3" operator="lessThanOrEqual">
      <formula>0.1</formula>
    </cfRule>
    <cfRule type="cellIs" dxfId="301" priority="4" operator="greaterThanOrEqual">
      <formula>1</formula>
    </cfRule>
  </conditionalFormatting>
  <conditionalFormatting sqref="H45">
    <cfRule type="cellIs" dxfId="300" priority="5" operator="lessThan">
      <formula>$F45</formula>
    </cfRule>
    <cfRule type="cellIs" dxfId="299" priority="6" operator="greaterThanOrEqual">
      <formula>$F45</formula>
    </cfRule>
  </conditionalFormatting>
  <dataValidations count="1">
    <dataValidation allowBlank="1" showErrorMessage="1" sqref="E8:E9 N8:N9 C8 C12:C13 L8" xr:uid="{00000000-0002-0000-0100-000000000000}"/>
  </dataValidations>
  <pageMargins left="0.7" right="0.7" top="0.75" bottom="0.75" header="0.3" footer="0.3"/>
  <pageSetup orientation="portrait" r:id="rId1"/>
  <ignoredErrors>
    <ignoredError sqref="H19 P19" 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'List Values'!$D$2:$D$3</xm:f>
          </x14:formula1>
          <xm:sqref>D4</xm:sqref>
        </x14:dataValidation>
        <x14:dataValidation type="list" allowBlank="1" showInputMessage="1" showErrorMessage="1" xr:uid="{00000000-0002-0000-0100-000002000000}">
          <x14:formula1>
            <xm:f>'List Values'!$D$6:$D$7</xm:f>
          </x14:formula1>
          <xm:sqref>L4</xm:sqref>
        </x14:dataValidation>
        <x14:dataValidation type="list" allowBlank="1" showInputMessage="1" showErrorMessage="1" xr:uid="{00000000-0002-0000-0100-000003000000}">
          <x14:formula1>
            <xm:f>'List Values'!$D$10:$D$11</xm:f>
          </x14:formula1>
          <xm:sqref>E4 M4</xm:sqref>
        </x14:dataValidation>
        <x14:dataValidation type="list" allowBlank="1" showInputMessage="1" showErrorMessage="1" xr:uid="{00000000-0002-0000-0100-000004000000}">
          <x14:formula1>
            <xm:f>'List Values'!$D$14:$D$18</xm:f>
          </x14:formula1>
          <xm:sqref>H4</xm:sqref>
        </x14:dataValidation>
        <x14:dataValidation type="list" allowBlank="1" showInputMessage="1" showErrorMessage="1" xr:uid="{00000000-0002-0000-0100-000006000000}">
          <x14:formula1>
            <xm:f>'List Values'!$F$2:$F$4</xm:f>
          </x14:formula1>
          <xm:sqref>I4</xm:sqref>
        </x14:dataValidation>
        <x14:dataValidation type="list" allowBlank="1" showInputMessage="1" showErrorMessage="1" xr:uid="{00000000-0002-0000-0100-000005000000}">
          <x14:formula1>
            <xm:f>'List Values'!$B$2:$B$22</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B87"/>
  <sheetViews>
    <sheetView tabSelected="1" topLeftCell="C1" zoomScale="70" zoomScaleNormal="70" zoomScaleSheetLayoutView="40" workbookViewId="0">
      <selection activeCell="L4" sqref="L4"/>
    </sheetView>
  </sheetViews>
  <sheetFormatPr defaultColWidth="8.81640625" defaultRowHeight="13" x14ac:dyDescent="0.35"/>
  <cols>
    <col min="1" max="1" width="2.26953125" style="119" customWidth="1"/>
    <col min="2" max="2" width="7.81640625" style="120" hidden="1" customWidth="1"/>
    <col min="3" max="3" width="11.7265625" style="76" customWidth="1"/>
    <col min="4" max="4" width="17.81640625" style="121" customWidth="1"/>
    <col min="5" max="5" width="25" style="76" customWidth="1"/>
    <col min="6" max="6" width="18.54296875" style="76" customWidth="1"/>
    <col min="7" max="7" width="2.7265625" style="119" customWidth="1"/>
    <col min="8" max="8" width="22.1796875" style="119" customWidth="1"/>
    <col min="9" max="9" width="15.81640625" style="119" customWidth="1"/>
    <col min="10" max="10" width="20" style="119" customWidth="1"/>
    <col min="11" max="11" width="17.54296875" style="119" customWidth="1"/>
    <col min="12" max="12" width="16.81640625" style="119" customWidth="1"/>
    <col min="13" max="13" width="15.81640625" style="119" customWidth="1"/>
    <col min="14" max="14" width="17.26953125" style="119" customWidth="1"/>
    <col min="15" max="15" width="15.1796875" style="119" customWidth="1"/>
    <col min="16" max="17" width="17.81640625" style="119" customWidth="1"/>
    <col min="18" max="18" width="2.7265625" style="119" customWidth="1"/>
    <col min="19" max="19" width="22.54296875" style="119" customWidth="1"/>
    <col min="20" max="20" width="15.81640625" style="119" customWidth="1"/>
    <col min="21" max="21" width="18.26953125" style="119" customWidth="1"/>
    <col min="22" max="25" width="13" style="119" customWidth="1"/>
    <col min="26" max="16384" width="8.81640625" style="119"/>
  </cols>
  <sheetData>
    <row r="1" spans="1:24" ht="26.25" customHeight="1" thickBot="1" x14ac:dyDescent="0.4"/>
    <row r="2" spans="1:24" s="30" customFormat="1" ht="13.5" customHeight="1" thickBot="1" x14ac:dyDescent="0.4">
      <c r="B2" s="31"/>
      <c r="C2" s="73"/>
      <c r="D2" s="73"/>
      <c r="E2" s="73"/>
      <c r="F2" s="73"/>
      <c r="H2" s="122" t="s">
        <v>162</v>
      </c>
      <c r="I2" s="676" t="s">
        <v>14</v>
      </c>
      <c r="J2" s="677"/>
      <c r="K2" s="678"/>
      <c r="L2" s="123"/>
      <c r="N2" s="123"/>
      <c r="S2" s="681" t="s">
        <v>54</v>
      </c>
      <c r="T2" s="678"/>
    </row>
    <row r="3" spans="1:24" s="30" customFormat="1" ht="40" customHeight="1" x14ac:dyDescent="0.35">
      <c r="B3" s="31"/>
      <c r="C3" s="73"/>
      <c r="D3" s="73"/>
      <c r="E3" s="73"/>
      <c r="F3" s="73"/>
      <c r="H3" s="124" t="s">
        <v>52</v>
      </c>
      <c r="I3" s="125" t="s">
        <v>163</v>
      </c>
      <c r="J3" s="126" t="s">
        <v>164</v>
      </c>
      <c r="K3" s="127" t="s">
        <v>165</v>
      </c>
      <c r="L3" s="97"/>
      <c r="S3" s="124" t="s">
        <v>166</v>
      </c>
      <c r="T3" s="127" t="s">
        <v>167</v>
      </c>
    </row>
    <row r="4" spans="1:24" s="30" customFormat="1" ht="41.5" customHeight="1" thickBot="1" x14ac:dyDescent="0.4">
      <c r="B4" s="31"/>
      <c r="C4" s="73"/>
      <c r="D4" s="73"/>
      <c r="E4" s="73"/>
      <c r="F4" s="73"/>
      <c r="H4" s="553" t="str">
        <f>Dashboard!C4</f>
        <v>Spot Cleaning, Wipe Cleaning and Carpet Cleaning</v>
      </c>
      <c r="I4" s="128" t="str">
        <f>Dashboard!D4</f>
        <v>Modeled Data</v>
      </c>
      <c r="J4" s="129">
        <f>Dashboard!E4</f>
        <v>0.99</v>
      </c>
      <c r="K4" s="770" t="s">
        <v>88</v>
      </c>
      <c r="L4" s="130"/>
      <c r="S4" s="553" t="str">
        <f>Dashboard!L4</f>
        <v>Average Adult Worker</v>
      </c>
      <c r="T4" s="355">
        <f>Dashboard!M4</f>
        <v>0.99</v>
      </c>
    </row>
    <row r="5" spans="1:24" s="30" customFormat="1" x14ac:dyDescent="0.35">
      <c r="A5" s="131"/>
      <c r="B5" s="31"/>
      <c r="C5" s="73"/>
      <c r="D5" s="73"/>
      <c r="E5" s="73"/>
      <c r="F5" s="73"/>
      <c r="J5" s="73"/>
      <c r="K5" s="73"/>
      <c r="L5" s="73"/>
      <c r="M5" s="132"/>
      <c r="N5" s="132"/>
      <c r="S5" s="76"/>
      <c r="T5" s="73"/>
      <c r="U5" s="133"/>
    </row>
    <row r="6" spans="1:24" s="30" customFormat="1" x14ac:dyDescent="0.35">
      <c r="B6" s="31"/>
      <c r="C6" s="73"/>
      <c r="D6" s="73"/>
      <c r="E6" s="73"/>
      <c r="F6" s="73"/>
      <c r="H6" s="133" t="s">
        <v>65</v>
      </c>
      <c r="I6" s="31"/>
      <c r="J6" s="73"/>
      <c r="K6" s="73"/>
      <c r="L6" s="73"/>
      <c r="M6" s="73"/>
      <c r="N6" s="73"/>
      <c r="S6" s="133" t="s">
        <v>54</v>
      </c>
      <c r="T6" s="119"/>
      <c r="U6" s="119"/>
      <c r="V6" s="76"/>
      <c r="W6" s="73"/>
    </row>
    <row r="7" spans="1:24" ht="13.5" thickBot="1" x14ac:dyDescent="0.4">
      <c r="H7" s="134" t="s">
        <v>66</v>
      </c>
      <c r="I7" s="120"/>
      <c r="M7" s="73"/>
      <c r="N7" s="73"/>
      <c r="S7" s="134" t="s">
        <v>66</v>
      </c>
      <c r="V7" s="76"/>
      <c r="W7" s="73"/>
    </row>
    <row r="8" spans="1:24" ht="39" x14ac:dyDescent="0.35">
      <c r="H8" s="624" t="s">
        <v>67</v>
      </c>
      <c r="I8" s="640" t="s">
        <v>68</v>
      </c>
      <c r="J8" s="555" t="s">
        <v>69</v>
      </c>
      <c r="K8" s="555" t="s">
        <v>70</v>
      </c>
      <c r="L8" s="482" t="s">
        <v>71</v>
      </c>
      <c r="M8" s="555" t="s">
        <v>72</v>
      </c>
      <c r="N8" s="482" t="s">
        <v>73</v>
      </c>
      <c r="O8" s="104" t="s">
        <v>74</v>
      </c>
      <c r="S8" s="624" t="s">
        <v>67</v>
      </c>
      <c r="T8" s="640" t="s">
        <v>68</v>
      </c>
      <c r="U8" s="555" t="s">
        <v>75</v>
      </c>
      <c r="V8" s="555" t="s">
        <v>76</v>
      </c>
      <c r="W8" s="555" t="s">
        <v>77</v>
      </c>
      <c r="X8" s="104" t="s">
        <v>78</v>
      </c>
    </row>
    <row r="9" spans="1:24" ht="28.5" thickBot="1" x14ac:dyDescent="0.4">
      <c r="H9" s="625"/>
      <c r="I9" s="641"/>
      <c r="J9" s="556" t="s">
        <v>79</v>
      </c>
      <c r="K9" s="556" t="s">
        <v>80</v>
      </c>
      <c r="L9" s="483" t="s">
        <v>81</v>
      </c>
      <c r="M9" s="556" t="s">
        <v>82</v>
      </c>
      <c r="N9" s="483" t="s">
        <v>83</v>
      </c>
      <c r="O9" s="197" t="s">
        <v>84</v>
      </c>
      <c r="S9" s="625"/>
      <c r="T9" s="641"/>
      <c r="U9" s="556" t="s">
        <v>85</v>
      </c>
      <c r="V9" s="556" t="s">
        <v>86</v>
      </c>
      <c r="W9" s="556" t="s">
        <v>87</v>
      </c>
      <c r="X9" s="197" t="s">
        <v>87</v>
      </c>
    </row>
    <row r="10" spans="1:24" x14ac:dyDescent="0.35">
      <c r="H10" s="563" t="s">
        <v>88</v>
      </c>
      <c r="I10" s="594" t="s">
        <v>89</v>
      </c>
      <c r="J10" s="333">
        <f>SUMIFS('Inhalation Exposure'!$H:$H,'Inhalation Exposure'!$C:$C,$H$4,'Inhalation Exposure'!$D:$D,$H10,'Inhalation Exposure'!$V:$V,$I$4)</f>
        <v>2.7501686002651389</v>
      </c>
      <c r="K10" s="333">
        <f>SUMIFS('Inhalation Exposure'!$J:$J,'Inhalation Exposure'!$C:$C,$H$4,'Inhalation Exposure'!$D:$D,$H10,'Inhalation Exposure'!$V:$V,$I$4)</f>
        <v>0.91672286675504633</v>
      </c>
      <c r="L10" s="484">
        <f>SUMIFS('Inhalation Exposure'!$L:$L,'Inhalation Exposure'!$C:$C,$H$4,'Inhalation Exposure'!$D:$D,$H10,'Inhalation Exposure'!$V:$V,$I$4)</f>
        <v>2.7501686002651389</v>
      </c>
      <c r="M10" s="333">
        <f>SUMIFS('Inhalation Exposure'!$N:$N,'Inhalation Exposure'!$C:$C,$H$4,'Inhalation Exposure'!$D:$D,$H10,'Inhalation Exposure'!$V:$V,$I$4)</f>
        <v>0.64949719365001934</v>
      </c>
      <c r="N10" s="484">
        <f>SUMIFS('Inhalation Exposure'!$P:$P,'Inhalation Exposure'!$C:$C,$H$4,'Inhalation Exposure'!$D:$D,$H10,'Inhalation Exposure'!$V:$V,$I$4)</f>
        <v>1.948491580950058</v>
      </c>
      <c r="O10" s="334">
        <f>SUMIFS('Inhalation Exposure'!$R:$R,'Inhalation Exposure'!$C:$C,$H$4,'Inhalation Exposure'!$D:$D,$H10,'Inhalation Exposure'!$V:$V,$I$4)</f>
        <v>0.26301095178578932</v>
      </c>
      <c r="S10" s="643" t="s">
        <v>90</v>
      </c>
      <c r="T10" s="141" t="s">
        <v>89</v>
      </c>
      <c r="U10" s="192">
        <f>'Dermal Exposure'!N8</f>
        <v>289.43946348387897</v>
      </c>
      <c r="V10" s="102">
        <f>'Dermal Exposure'!O8</f>
        <v>3.6179932935484871</v>
      </c>
      <c r="W10" s="102">
        <f>'Dermal Exposure'!P8</f>
        <v>2.9043069452320736</v>
      </c>
      <c r="X10" s="155">
        <f>'Dermal Exposure'!Q8</f>
        <v>1.4893881770420889</v>
      </c>
    </row>
    <row r="11" spans="1:24" x14ac:dyDescent="0.35">
      <c r="H11" s="564" t="s">
        <v>91</v>
      </c>
      <c r="I11" s="674"/>
      <c r="J11" s="335">
        <f>SUMIFS('Inhalation Exposure'!$H:$H,'Inhalation Exposure'!$C:$C,$H$4,'Inhalation Exposure'!$D:$D,$H11,'Inhalation Exposure'!$V:$V,$I$4)</f>
        <v>1.7437270257186532</v>
      </c>
      <c r="K11" s="335">
        <f>SUMIFS('Inhalation Exposure'!$J:$J,'Inhalation Exposure'!$C:$C,$H$4,'Inhalation Exposure'!$D:$D,$H11,'Inhalation Exposure'!$V:$V,$I$4)</f>
        <v>0.58124234190621771</v>
      </c>
      <c r="L11" s="485">
        <f>SUMIFS('Inhalation Exposure'!$L:$L,'Inhalation Exposure'!$C:$C,$H$4,'Inhalation Exposure'!$D:$D,$H11,'Inhalation Exposure'!$V:$V,$I$4)</f>
        <v>1.7437270257186532</v>
      </c>
      <c r="M11" s="335">
        <f>SUMIFS('Inhalation Exposure'!$N:$N,'Inhalation Exposure'!$C:$C,$H$4,'Inhalation Exposure'!$D:$D,$H11,'Inhalation Exposure'!$V:$V,$I$4)</f>
        <v>0.41077423537054469</v>
      </c>
      <c r="N11" s="485">
        <f>SUMIFS('Inhalation Exposure'!$P:$P,'Inhalation Exposure'!$C:$C,$H$4,'Inhalation Exposure'!$D:$D,$H11,'Inhalation Exposure'!$V:$V,$I$4)</f>
        <v>1.2323227061116342</v>
      </c>
      <c r="O11" s="336">
        <f>SUMIFS('Inhalation Exposure'!$R:$R,'Inhalation Exposure'!$C:$C,$H$4,'Inhalation Exposure'!$D:$D,$H11,'Inhalation Exposure'!$V:$V,$I$4)</f>
        <v>0.16302580206824938</v>
      </c>
      <c r="S11" s="644"/>
      <c r="T11" s="154" t="s">
        <v>92</v>
      </c>
      <c r="U11" s="103">
        <f>'Dermal Exposure'!N9</f>
        <v>96.479821161292989</v>
      </c>
      <c r="V11" s="103">
        <f>'Dermal Exposure'!O9</f>
        <v>1.2059977645161624</v>
      </c>
      <c r="W11" s="103">
        <f>'Dermal Exposure'!P9</f>
        <v>0.85245869382238326</v>
      </c>
      <c r="X11" s="156">
        <f>'Dermal Exposure'!Q9</f>
        <v>0.33879768600633181</v>
      </c>
    </row>
    <row r="12" spans="1:24" x14ac:dyDescent="0.35">
      <c r="H12" s="564" t="s">
        <v>88</v>
      </c>
      <c r="I12" s="638" t="s">
        <v>92</v>
      </c>
      <c r="J12" s="335">
        <f>SUMIFS('Inhalation Exposure'!$I:$I,'Inhalation Exposure'!$C:$C,$H$4,'Inhalation Exposure'!$D:$D,$H12,'Inhalation Exposure'!$V:$V,$I$4)</f>
        <v>0.96207902477632934</v>
      </c>
      <c r="K12" s="335">
        <f>SUMIFS('Inhalation Exposure'!$K:$K,'Inhalation Exposure'!$C:$C,$H$4,'Inhalation Exposure'!$D:$D,$H12,'Inhalation Exposure'!$V:$V,$I$4)</f>
        <v>0.32069300825877645</v>
      </c>
      <c r="L12" s="485">
        <f>SUMIFS('Inhalation Exposure'!$M:$M,'Inhalation Exposure'!$C:$C,$H$4,'Inhalation Exposure'!$D:$D,$H12,'Inhalation Exposure'!$V:$V,$I$4)</f>
        <v>0.96207902477632934</v>
      </c>
      <c r="M12" s="335">
        <f>SUMIFS('Inhalation Exposure'!$O:$O,'Inhalation Exposure'!$C:$C,$H$4,'Inhalation Exposure'!$D:$D,$H12,'Inhalation Exposure'!$V:$V,$I$4)</f>
        <v>0.22627163919987608</v>
      </c>
      <c r="N12" s="485">
        <f>SUMIFS('Inhalation Exposure'!$Q:$Q,'Inhalation Exposure'!$C:$C,$H$4,'Inhalation Exposure'!$D:$D,$H12,'Inhalation Exposure'!$V:$V,$I$4)</f>
        <v>0.6788149175996282</v>
      </c>
      <c r="O12" s="336">
        <f>SUMIFS('Inhalation Exposure'!$S:$S,'Inhalation Exposure'!$C:$C,$H$4,'Inhalation Exposure'!$D:$D,$H12,'Inhalation Exposure'!$V:$V,$I$4)</f>
        <v>8.4181628744240788E-2</v>
      </c>
      <c r="S12" s="642" t="str">
        <f>_xlfn.CONCAT("Worker with Gloves; PF = 
",'List Values'!F2)</f>
        <v>Worker with Gloves; PF = 
5</v>
      </c>
      <c r="T12" s="154" t="s">
        <v>89</v>
      </c>
      <c r="U12" s="103">
        <f>U10/'List Values'!$F$2</f>
        <v>57.887892696775793</v>
      </c>
      <c r="V12" s="103">
        <f>V10/'List Values'!$F$2</f>
        <v>0.72359865870969742</v>
      </c>
      <c r="W12" s="103">
        <f>W10/'List Values'!$F$2</f>
        <v>0.58086138904641471</v>
      </c>
      <c r="X12" s="156">
        <f>X10/'List Values'!$F$2</f>
        <v>0.29787763540841777</v>
      </c>
    </row>
    <row r="13" spans="1:24" ht="13.5" thickBot="1" x14ac:dyDescent="0.4">
      <c r="H13" s="367" t="s">
        <v>91</v>
      </c>
      <c r="I13" s="639"/>
      <c r="J13" s="337">
        <f>SUMIFS('Inhalation Exposure'!$I:$I,'Inhalation Exposure'!$C:$C,$H$4,'Inhalation Exposure'!$D:$D,$H13,'Inhalation Exposure'!$V:$V,$I$4)</f>
        <v>0.47937392347468338</v>
      </c>
      <c r="K13" s="337">
        <f>SUMIFS('Inhalation Exposure'!$K:$K,'Inhalation Exposure'!$C:$C,$H$4,'Inhalation Exposure'!$D:$D,$H13,'Inhalation Exposure'!$V:$V,$I$4)</f>
        <v>0.15979130782489445</v>
      </c>
      <c r="L13" s="486">
        <f>SUMIFS('Inhalation Exposure'!$M:$M,'Inhalation Exposure'!$C:$C,$H$4,'Inhalation Exposure'!$D:$D,$H13,'Inhalation Exposure'!$V:$V,$I$4)</f>
        <v>0.47937392347468338</v>
      </c>
      <c r="M13" s="337">
        <f>SUMIFS('Inhalation Exposure'!$O:$O,'Inhalation Exposure'!$C:$C,$H$4,'Inhalation Exposure'!$D:$D,$H13,'Inhalation Exposure'!$V:$V,$I$4)</f>
        <v>0.11280556843108118</v>
      </c>
      <c r="N13" s="486">
        <f>SUMIFS('Inhalation Exposure'!$Q:$Q,'Inhalation Exposure'!$C:$C,$H$4,'Inhalation Exposure'!$D:$D,$H13,'Inhalation Exposure'!$V:$V,$I$4)</f>
        <v>0.33841670529324358</v>
      </c>
      <c r="O13" s="338">
        <f>SUMIFS('Inhalation Exposure'!$S:$S,'Inhalation Exposure'!$C:$C,$H$4,'Inhalation Exposure'!$D:$D,$H13,'Inhalation Exposure'!$V:$V,$I$4)</f>
        <v>4.2340613418723437E-2</v>
      </c>
      <c r="S13" s="680"/>
      <c r="T13" s="154" t="s">
        <v>92</v>
      </c>
      <c r="U13" s="103">
        <f>U11/'List Values'!$F$2</f>
        <v>19.295964232258598</v>
      </c>
      <c r="V13" s="103">
        <f>V11/'List Values'!$F$2</f>
        <v>0.24119955290323247</v>
      </c>
      <c r="W13" s="103">
        <f>W11/'List Values'!$F$2</f>
        <v>0.17049173876447665</v>
      </c>
      <c r="X13" s="156">
        <f>X11/'List Values'!$F$2</f>
        <v>6.7759537201266359E-2</v>
      </c>
    </row>
    <row r="14" spans="1:24" x14ac:dyDescent="0.35">
      <c r="S14" s="642" t="str">
        <f>_xlfn.CONCAT("Worker with Gloves; PF = 
",'List Values'!F3)</f>
        <v>Worker with Gloves; PF = 
10</v>
      </c>
      <c r="T14" s="154" t="s">
        <v>89</v>
      </c>
      <c r="U14" s="103">
        <f>U10/'List Values'!$F$3</f>
        <v>28.943946348387897</v>
      </c>
      <c r="V14" s="103">
        <f>V10/'List Values'!$F$3</f>
        <v>0.36179932935484871</v>
      </c>
      <c r="W14" s="103">
        <f>W10/'List Values'!$F$3</f>
        <v>0.29043069452320736</v>
      </c>
      <c r="X14" s="156">
        <f>X10/'List Values'!$F$3</f>
        <v>0.14893881770420889</v>
      </c>
    </row>
    <row r="15" spans="1:24" x14ac:dyDescent="0.35">
      <c r="D15" s="76"/>
      <c r="H15" s="120"/>
      <c r="S15" s="680"/>
      <c r="T15" s="154" t="s">
        <v>92</v>
      </c>
      <c r="U15" s="103">
        <f>U11/'List Values'!$F$3</f>
        <v>9.6479821161292989</v>
      </c>
      <c r="V15" s="103">
        <f>V11/'List Values'!$F$3</f>
        <v>0.12059977645161624</v>
      </c>
      <c r="W15" s="103">
        <f>W11/'List Values'!$F$3</f>
        <v>8.5245869382238326E-2</v>
      </c>
      <c r="X15" s="156">
        <f>X11/'List Values'!$F$3</f>
        <v>3.387976860063318E-2</v>
      </c>
    </row>
    <row r="16" spans="1:24" x14ac:dyDescent="0.35">
      <c r="D16" s="76"/>
      <c r="H16" s="120"/>
      <c r="S16" s="642" t="str">
        <f>_xlfn.CONCAT("Worker with Gloves; PF = 
",'List Values'!F4)</f>
        <v>Worker with Gloves; PF = 
20</v>
      </c>
      <c r="T16" s="154" t="s">
        <v>89</v>
      </c>
      <c r="U16" s="103">
        <f>U10/'List Values'!$F$4</f>
        <v>14.471973174193948</v>
      </c>
      <c r="V16" s="103">
        <f>V10/'List Values'!$F$4</f>
        <v>0.18089966467742435</v>
      </c>
      <c r="W16" s="103">
        <f>W10/'List Values'!$F$4</f>
        <v>0.14521534726160368</v>
      </c>
      <c r="X16" s="156">
        <f>X10/'List Values'!$F$4</f>
        <v>7.4469408852104443E-2</v>
      </c>
    </row>
    <row r="17" spans="2:28" x14ac:dyDescent="0.35">
      <c r="D17" s="76"/>
      <c r="H17" s="120"/>
      <c r="S17" s="680"/>
      <c r="T17" s="154" t="s">
        <v>92</v>
      </c>
      <c r="U17" s="103">
        <f>U11/'List Values'!$F$4</f>
        <v>4.8239910580646495</v>
      </c>
      <c r="V17" s="103">
        <f>V11/'List Values'!$F$4</f>
        <v>6.0299888225808118E-2</v>
      </c>
      <c r="W17" s="103">
        <f>W11/'List Values'!$F$4</f>
        <v>4.2622934691119163E-2</v>
      </c>
      <c r="X17" s="156">
        <f>X11/'List Values'!$F$4</f>
        <v>1.693988430031659E-2</v>
      </c>
    </row>
    <row r="18" spans="2:28" s="30" customFormat="1" x14ac:dyDescent="0.35">
      <c r="B18" s="31"/>
      <c r="C18" s="106"/>
      <c r="D18" s="106"/>
      <c r="E18" s="106"/>
      <c r="F18" s="106"/>
      <c r="G18" s="106"/>
      <c r="H18" s="565"/>
      <c r="I18" s="73"/>
      <c r="K18" s="565"/>
      <c r="L18" s="565"/>
      <c r="M18" s="565"/>
      <c r="N18" s="565"/>
      <c r="O18" s="565"/>
      <c r="P18" s="565"/>
      <c r="Q18" s="565"/>
      <c r="S18" s="106"/>
      <c r="T18" s="565"/>
      <c r="U18" s="73"/>
      <c r="W18" s="565"/>
    </row>
    <row r="19" spans="2:28" s="30" customFormat="1" ht="13.5" thickBot="1" x14ac:dyDescent="0.4">
      <c r="B19" s="31"/>
      <c r="C19" s="73"/>
      <c r="D19" s="75"/>
      <c r="E19" s="75"/>
      <c r="F19" s="75"/>
      <c r="G19" s="135"/>
      <c r="H19" s="135" t="s">
        <v>168</v>
      </c>
      <c r="I19" s="73"/>
      <c r="K19" s="565"/>
      <c r="L19" s="675"/>
      <c r="M19" s="675"/>
      <c r="N19" s="567"/>
      <c r="O19" s="567"/>
      <c r="S19" s="136" t="s">
        <v>169</v>
      </c>
      <c r="T19" s="136"/>
      <c r="U19" s="136"/>
    </row>
    <row r="20" spans="2:28" s="30" customFormat="1" x14ac:dyDescent="0.35">
      <c r="B20" s="31"/>
      <c r="C20" s="672" t="s">
        <v>170</v>
      </c>
      <c r="D20" s="672" t="s">
        <v>171</v>
      </c>
      <c r="E20" s="672"/>
      <c r="F20" s="672" t="s">
        <v>172</v>
      </c>
      <c r="G20" s="108"/>
      <c r="H20" s="682" t="s">
        <v>96</v>
      </c>
      <c r="I20" s="621" t="s">
        <v>68</v>
      </c>
      <c r="J20" s="617" t="s">
        <v>97</v>
      </c>
      <c r="K20" s="617" t="str">
        <f>_xlfn.CONCAT("Exposure Estimates: ",$K$4," MOE")</f>
        <v>Exposure Estimates: Worker MOE</v>
      </c>
      <c r="L20" s="684"/>
      <c r="M20" s="684"/>
      <c r="N20" s="684"/>
      <c r="O20" s="684"/>
      <c r="P20" s="685"/>
      <c r="Q20" s="568" t="s">
        <v>102</v>
      </c>
      <c r="R20" s="137"/>
      <c r="S20" s="626" t="s">
        <v>118</v>
      </c>
      <c r="T20" s="621" t="s">
        <v>68</v>
      </c>
      <c r="U20" s="617" t="s">
        <v>97</v>
      </c>
      <c r="V20" s="617" t="str">
        <f>_xlfn.CONCAT("Exposure Estimates: ",$K$4," MOE")</f>
        <v>Exposure Estimates: Worker MOE</v>
      </c>
      <c r="W20" s="684"/>
      <c r="X20" s="684"/>
      <c r="Y20" s="684"/>
      <c r="Z20" s="686" t="s">
        <v>102</v>
      </c>
    </row>
    <row r="21" spans="2:28" s="30" customFormat="1" ht="13.5" thickBot="1" x14ac:dyDescent="0.4">
      <c r="B21" s="31"/>
      <c r="C21" s="673"/>
      <c r="D21" s="673"/>
      <c r="E21" s="673"/>
      <c r="F21" s="673"/>
      <c r="G21" s="109"/>
      <c r="H21" s="683"/>
      <c r="I21" s="679"/>
      <c r="J21" s="623"/>
      <c r="K21" s="558" t="s">
        <v>173</v>
      </c>
      <c r="L21" s="558" t="s">
        <v>174</v>
      </c>
      <c r="M21" s="558" t="s">
        <v>175</v>
      </c>
      <c r="N21" s="558" t="s">
        <v>176</v>
      </c>
      <c r="O21" s="558" t="s">
        <v>177</v>
      </c>
      <c r="P21" s="297" t="s">
        <v>178</v>
      </c>
      <c r="Q21" s="558" t="s">
        <v>173</v>
      </c>
      <c r="R21" s="111"/>
      <c r="S21" s="627"/>
      <c r="T21" s="679"/>
      <c r="U21" s="623"/>
      <c r="V21" s="292" t="s">
        <v>151</v>
      </c>
      <c r="W21" s="292" t="s">
        <v>179</v>
      </c>
      <c r="X21" s="292" t="s">
        <v>180</v>
      </c>
      <c r="Y21" s="293" t="s">
        <v>181</v>
      </c>
      <c r="Z21" s="687"/>
    </row>
    <row r="22" spans="2:28" s="30" customFormat="1" ht="12.75" customHeight="1" x14ac:dyDescent="0.35">
      <c r="B22" s="659" t="s">
        <v>104</v>
      </c>
      <c r="C22" s="667" t="s">
        <v>182</v>
      </c>
      <c r="D22" s="650" t="s">
        <v>183</v>
      </c>
      <c r="E22" s="665" t="s">
        <v>184</v>
      </c>
      <c r="F22" s="660" t="s">
        <v>185</v>
      </c>
      <c r="G22" s="294"/>
      <c r="H22" s="598">
        <f>IF(AND(ISNUMBER(VLOOKUP(B22,'Health Data'!$F$6:$H$25,2,FALSE)),$J$4=0.5),SUMIFS('Health Data'!$G$6:$G$25,'Health Data'!$F$6:$F$25,RR!B22),IF(ISNUMBER(VLOOKUP(B22,'Health Data'!$F$6:$H$25,3,FALSE)),SUMIFS('Health Data'!$H$6:$H$25,'Health Data'!$F$6:$F$25,RR!B22),SUMIFS('Health Data'!$G$6:$G$25,'Health Data'!$F$6:$F$25,RR!B22)))</f>
        <v>3.7000000000000002E-3</v>
      </c>
      <c r="I22" s="141" t="s">
        <v>89</v>
      </c>
      <c r="J22" s="301">
        <f>VLOOKUP(B22,'Health Data'!$F$6:$K$25,6,FALSE)</f>
        <v>10</v>
      </c>
      <c r="K22" s="69">
        <f>IFERROR($H22/IF($K$4="Worker",$K$10,$K$11), "")</f>
        <v>4.0361161853603696E-3</v>
      </c>
      <c r="L22" s="69">
        <f>IFERROR($H22/(IF($K$4="Worker",$K$10,$K$11)/'List Values'!$D$14), "")</f>
        <v>4.0361161853603701E-2</v>
      </c>
      <c r="M22" s="69">
        <f>IFERROR($H22/(IF($K$4="Worker",$K$10,$K$11)/'List Values'!$D$15), "")</f>
        <v>0.10090290463400924</v>
      </c>
      <c r="N22" s="69">
        <f>IFERROR($H22/(IF($K$4="Worker",$K$10,$K$11)/'List Values'!$D$16), "")</f>
        <v>0.20180580926801847</v>
      </c>
      <c r="O22" s="69">
        <f>IFERROR($H22/(IF($K$4="Worker",$K$10,$K$11)/'List Values'!$D$17), "")</f>
        <v>4.0361161853603695</v>
      </c>
      <c r="P22" s="93">
        <f>IFERROR($H22/(IF($K$4="Worker",$K$10,$K$11)/'List Values'!$D$18), "")</f>
        <v>40.361161853603697</v>
      </c>
      <c r="Q22" s="93">
        <f>IFERROR(H22/$K$11,"")</f>
        <v>6.3656752669904214E-3</v>
      </c>
      <c r="R22" s="137"/>
      <c r="S22" s="598">
        <f>IF(AND(ISNUMBER(VLOOKUP(B22,'Health Data'!$F$6:$J$25,4,FALSE)),$T$4=0.5),SUMIFS('Health Data'!$I$6:$I$25,'Health Data'!$F$6:$F$25,RR!B22),IF(ISNUMBER(VLOOKUP(B22,'Health Data'!$F$6:$J$25,5,FALSE)),SUMIFS('Health Data'!$J$6:$J$25,'Health Data'!$F$6:$F$25,RR!B22),"N/A"))</f>
        <v>5.1999999999999998E-3</v>
      </c>
      <c r="T22" s="141" t="s">
        <v>89</v>
      </c>
      <c r="U22" s="301">
        <f>VLOOKUP(B22,'Health Data'!$F$6:$K$25,6,FALSE)</f>
        <v>10</v>
      </c>
      <c r="V22" s="69">
        <f>IFERROR($S22/V$10, "")</f>
        <v>1.4372608178330531E-3</v>
      </c>
      <c r="W22" s="69">
        <f>IFERROR($S22/V$12, "")</f>
        <v>7.1863040891652656E-3</v>
      </c>
      <c r="X22" s="69">
        <f>IFERROR($S22/V$14, "")</f>
        <v>1.4372608178330531E-2</v>
      </c>
      <c r="Y22" s="93">
        <f>IFERROR($S22/V$16, "")</f>
        <v>2.8745216356661062E-2</v>
      </c>
      <c r="Z22" s="93"/>
    </row>
    <row r="23" spans="2:28" s="30" customFormat="1" ht="13.5" customHeight="1" thickBot="1" x14ac:dyDescent="0.4">
      <c r="B23" s="659"/>
      <c r="C23" s="668"/>
      <c r="D23" s="651"/>
      <c r="E23" s="658"/>
      <c r="F23" s="653"/>
      <c r="G23" s="138"/>
      <c r="H23" s="599"/>
      <c r="I23" s="140" t="s">
        <v>106</v>
      </c>
      <c r="J23" s="302">
        <f>VLOOKUP(B22,'Health Data'!$F$6:$K$25,6,FALSE)</f>
        <v>10</v>
      </c>
      <c r="K23" s="87">
        <f>IFERROR($H22/IF($K$4="Worker",$K$12,$K$13), "")</f>
        <v>1.1537513773965297E-2</v>
      </c>
      <c r="L23" s="87">
        <f>IFERROR($H22/(IF($K$4="Worker",$K$12,$K$13)/('List Values'!$D$14)), "")</f>
        <v>0.11537513773965297</v>
      </c>
      <c r="M23" s="87">
        <f>IFERROR($H22/(IF($K$4="Worker",$K$12,$K$13)/'List Values'!$D$15), "")</f>
        <v>0.28843784434913244</v>
      </c>
      <c r="N23" s="87">
        <f>IFERROR($H22/(IF($K$4="Worker",$K$12,$K$13)/'List Values'!$D$16), "")</f>
        <v>0.57687568869826489</v>
      </c>
      <c r="O23" s="87">
        <f>IFERROR($H22/(IF($K$4="Worker",$K$12,$K$13)/'List Values'!$D$17), "")</f>
        <v>11.537513773965298</v>
      </c>
      <c r="P23" s="107">
        <f>IFERROR($H22/(IF($K$4="Worker",$K$12,$K$13)/'List Values'!$D$18), "")</f>
        <v>115.37513773965298</v>
      </c>
      <c r="Q23" s="107">
        <f>IFERROR(H22/$K$13,"")</f>
        <v>2.3155201934103978E-2</v>
      </c>
      <c r="R23" s="111"/>
      <c r="S23" s="599"/>
      <c r="T23" s="140" t="s">
        <v>92</v>
      </c>
      <c r="U23" s="302">
        <f>VLOOKUP(B22,'Health Data'!$F$6:$K$25,6,FALSE)</f>
        <v>10</v>
      </c>
      <c r="V23" s="70">
        <f>IFERROR($S22/V$11, "")</f>
        <v>4.3117824534991593E-3</v>
      </c>
      <c r="W23" s="70">
        <f>IFERROR($S22/V$13, "")</f>
        <v>2.1558912267495796E-2</v>
      </c>
      <c r="X23" s="70">
        <f>IFERROR($S22/V$15, "")</f>
        <v>4.3117824534991592E-2</v>
      </c>
      <c r="Y23" s="174">
        <f>IFERROR($S22/V$17, "")</f>
        <v>8.6235649069983183E-2</v>
      </c>
      <c r="Z23" s="174"/>
    </row>
    <row r="24" spans="2:28" s="30" customFormat="1" ht="12.75" customHeight="1" x14ac:dyDescent="0.35">
      <c r="B24" s="659" t="s">
        <v>107</v>
      </c>
      <c r="C24" s="668"/>
      <c r="D24" s="651"/>
      <c r="E24" s="648" t="s">
        <v>186</v>
      </c>
      <c r="F24" s="670" t="s">
        <v>187</v>
      </c>
      <c r="G24" s="138"/>
      <c r="H24" s="598">
        <f>IF(AND(ISNUMBER(VLOOKUP(B24,'Health Data'!$F$6:$H$25,2,FALSE)),$J$4=0.5),SUMIFS('Health Data'!$G$6:$G$25,'Health Data'!$F$6:$F$25,RR!B24),IF(ISNUMBER(VLOOKUP(B24,'Health Data'!$F$6:$H$25,3,FALSE)),SUMIFS('Health Data'!$H$6:$H$25,'Health Data'!$F$6:$F$25,RR!B24),SUMIFS('Health Data'!$G$6:$G$25,'Health Data'!$F$6:$F$25,RR!B24)))</f>
        <v>3</v>
      </c>
      <c r="I24" s="141" t="s">
        <v>89</v>
      </c>
      <c r="J24" s="301">
        <f>VLOOKUP(B24,'Health Data'!$F$6:$K$25,6,FALSE)</f>
        <v>100</v>
      </c>
      <c r="K24" s="69">
        <f>IFERROR($H24/IF($K$4="Worker",$K$10,$K$11), "")</f>
        <v>3.2725266367786783</v>
      </c>
      <c r="L24" s="69">
        <f>IFERROR($H24/(IF($K$4="Worker",$K$10,$K$11)/'List Values'!$D$14), "")</f>
        <v>32.72526636778678</v>
      </c>
      <c r="M24" s="69">
        <f>IFERROR($H24/(IF($K$4="Worker",$K$10,$K$11)/'List Values'!$D$15), "")</f>
        <v>81.81316591946694</v>
      </c>
      <c r="N24" s="69">
        <f>IFERROR($H24/(IF($K$4="Worker",$K$10,$K$11)/'List Values'!$D$16), "")</f>
        <v>163.62633183893388</v>
      </c>
      <c r="O24" s="69">
        <f>IFERROR($H24/(IF($K$4="Worker",$K$10,$K$11)/'List Values'!$D$17), "")</f>
        <v>3272.526636778678</v>
      </c>
      <c r="P24" s="93">
        <f>IFERROR($H24/(IF($K$4="Worker",$K$10,$K$11)/'List Values'!$D$18), "")</f>
        <v>32725.266367786779</v>
      </c>
      <c r="Q24" s="93">
        <f>IFERROR(H24/$K$11,"")</f>
        <v>5.1613583245868275</v>
      </c>
      <c r="R24" s="111"/>
      <c r="S24" s="598">
        <f>IF(AND(ISNUMBER(VLOOKUP(B24,'Health Data'!$F$6:$J$25,4,FALSE)),$T$4=0.5),SUMIFS('Health Data'!$I$6:$I$25,'Health Data'!$F$6:$F$25,RR!B24),IF(ISNUMBER(VLOOKUP(B24,'Health Data'!$F$6:$J$25,5,FALSE)),SUMIFS('Health Data'!$J$6:$J$25,'Health Data'!$F$6:$F$25,RR!B24),"N/A"))</f>
        <v>4.0999999999999996</v>
      </c>
      <c r="T24" s="141" t="s">
        <v>89</v>
      </c>
      <c r="U24" s="301">
        <f>VLOOKUP(B24,'Health Data'!$F$6:$K$25,6,FALSE)</f>
        <v>100</v>
      </c>
      <c r="V24" s="69">
        <f>IFERROR($S24/V$10, "")</f>
        <v>1.1332248755991379</v>
      </c>
      <c r="W24" s="69">
        <f>IFERROR($S24/V$12, "")</f>
        <v>5.6661243779956898</v>
      </c>
      <c r="X24" s="69">
        <f>IFERROR($S24/V$14, "")</f>
        <v>11.33224875599138</v>
      </c>
      <c r="Y24" s="93">
        <f>IFERROR($S24/V$16, "")</f>
        <v>22.664497511982759</v>
      </c>
      <c r="Z24" s="93"/>
      <c r="AA24" s="31"/>
      <c r="AB24" s="31"/>
    </row>
    <row r="25" spans="2:28" s="30" customFormat="1" ht="13.5" customHeight="1" thickBot="1" x14ac:dyDescent="0.4">
      <c r="B25" s="659"/>
      <c r="C25" s="668"/>
      <c r="D25" s="651"/>
      <c r="E25" s="648"/>
      <c r="F25" s="670"/>
      <c r="G25" s="138"/>
      <c r="H25" s="599"/>
      <c r="I25" s="140" t="s">
        <v>106</v>
      </c>
      <c r="J25" s="302">
        <f>VLOOKUP(B24,'Health Data'!$F$6:$K$25,6,FALSE)</f>
        <v>100</v>
      </c>
      <c r="K25" s="87">
        <f>IFERROR($H24/IF($K$4="Worker",$K$12,$K$13), "")</f>
        <v>9.3547408978097</v>
      </c>
      <c r="L25" s="87">
        <f>IFERROR($H24/(IF($K$4="Worker",$K$12,$K$13)/('List Values'!$D$14)), "")</f>
        <v>93.547408978096996</v>
      </c>
      <c r="M25" s="87">
        <f>IFERROR($H24/(IF($K$4="Worker",$K$12,$K$13)/'List Values'!$D$15), "")</f>
        <v>233.86852244524249</v>
      </c>
      <c r="N25" s="87">
        <f>IFERROR($H24/(IF($K$4="Worker",$K$12,$K$13)/'List Values'!$D$16), "")</f>
        <v>467.73704489048498</v>
      </c>
      <c r="O25" s="87">
        <f>IFERROR($H24/(IF($K$4="Worker",$K$12,$K$13)/'List Values'!$D$17), "")</f>
        <v>9354.7408978096992</v>
      </c>
      <c r="P25" s="107">
        <f>IFERROR($H24/(IF($K$4="Worker",$K$12,$K$13)/'List Values'!$D$18), "")</f>
        <v>93547.40897809701</v>
      </c>
      <c r="Q25" s="107">
        <f t="shared" ref="Q25" si="0">IFERROR(H24/$K$13,"")</f>
        <v>18.774488054678901</v>
      </c>
      <c r="R25" s="111"/>
      <c r="S25" s="599"/>
      <c r="T25" s="140" t="s">
        <v>92</v>
      </c>
      <c r="U25" s="302">
        <f>VLOOKUP(B24,'Health Data'!$F$6:$K$25,6,FALSE)</f>
        <v>100</v>
      </c>
      <c r="V25" s="70">
        <f>IFERROR($S24/V$11, "")</f>
        <v>3.3996746267974136</v>
      </c>
      <c r="W25" s="70">
        <f>IFERROR($S24/V$13, "")</f>
        <v>16.998373133987069</v>
      </c>
      <c r="X25" s="70">
        <f>IFERROR($S24/V$15, "")</f>
        <v>33.996746267974139</v>
      </c>
      <c r="Y25" s="174">
        <f>IFERROR($S24/V$17, "")</f>
        <v>67.993492535948278</v>
      </c>
      <c r="Z25" s="174"/>
      <c r="AA25" s="31"/>
      <c r="AB25" s="31"/>
    </row>
    <row r="26" spans="2:28" s="30" customFormat="1" ht="17.25" customHeight="1" x14ac:dyDescent="0.35">
      <c r="B26" s="659" t="s">
        <v>109</v>
      </c>
      <c r="C26" s="668"/>
      <c r="D26" s="651"/>
      <c r="E26" s="648" t="s">
        <v>188</v>
      </c>
      <c r="F26" s="670" t="s">
        <v>189</v>
      </c>
      <c r="G26" s="138"/>
      <c r="H26" s="598">
        <f>IF(AND(ISNUMBER(VLOOKUP(B26,'Health Data'!$F$6:$H$25,2,FALSE)),$J$4=0.5),SUMIFS('Health Data'!$G$6:$G$25,'Health Data'!$F$6:$F$25,RR!B26),IF(ISNUMBER(VLOOKUP(B26,'Health Data'!$F$6:$H$25,3,FALSE)),SUMIFS('Health Data'!$H$6:$H$25,'Health Data'!$F$6:$F$25,RR!B26),SUMIFS('Health Data'!$G$6:$G$25,'Health Data'!$F$6:$F$25,RR!B26)))</f>
        <v>23</v>
      </c>
      <c r="I26" s="141" t="s">
        <v>89</v>
      </c>
      <c r="J26" s="301">
        <f>VLOOKUP(B26,'Health Data'!$F$6:$K$25,6,FALSE)</f>
        <v>10</v>
      </c>
      <c r="K26" s="69">
        <f>IFERROR($H26/IF($K$4="Worker",$K$10,$K$11), "")</f>
        <v>25.089370881969867</v>
      </c>
      <c r="L26" s="69">
        <f>IFERROR($H26/(IF($K$4="Worker",$K$10,$K$11)/'List Values'!$D$14), "")</f>
        <v>250.89370881969867</v>
      </c>
      <c r="M26" s="69">
        <f>IFERROR($H26/(IF($K$4="Worker",$K$10,$K$11)/'List Values'!$D$15), "")</f>
        <v>627.23427204924656</v>
      </c>
      <c r="N26" s="69">
        <f>IFERROR($H26/(IF($K$4="Worker",$K$10,$K$11)/'List Values'!$D$16), "")</f>
        <v>1254.4685440984931</v>
      </c>
      <c r="O26" s="69">
        <f>IFERROR($H26/(IF($K$4="Worker",$K$10,$K$11)/'List Values'!$D$17), "")</f>
        <v>25089.370881969866</v>
      </c>
      <c r="P26" s="93">
        <f>IFERROR($H26/(IF($K$4="Worker",$K$10,$K$11)/'List Values'!$D$18), "")</f>
        <v>250893.70881969863</v>
      </c>
      <c r="Q26" s="93">
        <f t="shared" ref="Q26" si="1">IFERROR(H26/$K$11,"")</f>
        <v>39.570413821832346</v>
      </c>
      <c r="R26" s="111"/>
      <c r="S26" s="598">
        <f>IF(AND(ISNUMBER(VLOOKUP(B26,'Health Data'!$F$6:$J$25,4,FALSE)),$T$4=0.5),SUMIFS('Health Data'!$I$6:$I$25,'Health Data'!$F$6:$F$25,RR!B26),IF(ISNUMBER(VLOOKUP(B26,'Health Data'!$F$6:$J$25,5,FALSE)),SUMIFS('Health Data'!$J$6:$J$25,'Health Data'!$F$6:$F$25,RR!B26),"N/A"))</f>
        <v>28</v>
      </c>
      <c r="T26" s="141" t="s">
        <v>89</v>
      </c>
      <c r="U26" s="301">
        <f>VLOOKUP(B26,'Health Data'!$F$6:$K$25,6,FALSE)</f>
        <v>10</v>
      </c>
      <c r="V26" s="69">
        <f>IFERROR($S26/V$10, "")</f>
        <v>7.7390967114087479</v>
      </c>
      <c r="W26" s="69">
        <f>IFERROR($S26/V$12, "")</f>
        <v>38.695483557043737</v>
      </c>
      <c r="X26" s="69">
        <f>IFERROR($S26/V$14, "")</f>
        <v>77.390967114087474</v>
      </c>
      <c r="Y26" s="93">
        <f>IFERROR($S26/V$16, "")</f>
        <v>154.78193422817495</v>
      </c>
      <c r="Z26" s="93"/>
    </row>
    <row r="27" spans="2:28" s="30" customFormat="1" ht="15.75" customHeight="1" thickBot="1" x14ac:dyDescent="0.4">
      <c r="B27" s="659"/>
      <c r="C27" s="668"/>
      <c r="D27" s="651"/>
      <c r="E27" s="648"/>
      <c r="F27" s="670"/>
      <c r="G27" s="138"/>
      <c r="H27" s="599"/>
      <c r="I27" s="140" t="s">
        <v>106</v>
      </c>
      <c r="J27" s="302">
        <f>VLOOKUP(B26,'Health Data'!$F$6:$K$25,6,FALSE)</f>
        <v>10</v>
      </c>
      <c r="K27" s="87">
        <f>IFERROR($H26/IF($K$4="Worker",$K$12,$K$13), "")</f>
        <v>71.719680216541036</v>
      </c>
      <c r="L27" s="87">
        <f>IFERROR($H26/(IF($K$4="Worker",$K$12,$K$13)/('List Values'!$D$14)), "")</f>
        <v>717.1968021654103</v>
      </c>
      <c r="M27" s="87">
        <f>IFERROR($H26/(IF($K$4="Worker",$K$12,$K$13)/'List Values'!$D$15), "")</f>
        <v>1792.9920054135259</v>
      </c>
      <c r="N27" s="87">
        <f>IFERROR($H26/(IF($K$4="Worker",$K$12,$K$13)/'List Values'!$D$16), "")</f>
        <v>3585.9840108270519</v>
      </c>
      <c r="O27" s="87">
        <f>IFERROR($H26/(IF($K$4="Worker",$K$12,$K$13)/'List Values'!$D$17), "")</f>
        <v>71719.680216541034</v>
      </c>
      <c r="P27" s="107">
        <f>IFERROR($H26/(IF($K$4="Worker",$K$12,$K$13)/'List Values'!$D$18), "")</f>
        <v>717196.80216541036</v>
      </c>
      <c r="Q27" s="107">
        <f t="shared" ref="Q27" si="2">IFERROR(H26/$K$13,"")</f>
        <v>143.93774175253824</v>
      </c>
      <c r="R27" s="111"/>
      <c r="S27" s="599"/>
      <c r="T27" s="140" t="s">
        <v>92</v>
      </c>
      <c r="U27" s="302">
        <f>VLOOKUP(B26,'Health Data'!$F$6:$K$25,6,FALSE)</f>
        <v>10</v>
      </c>
      <c r="V27" s="70">
        <f>IFERROR($S26/V$11, "")</f>
        <v>23.217290134226243</v>
      </c>
      <c r="W27" s="70">
        <f>IFERROR($S26/V$13, "")</f>
        <v>116.08645067113122</v>
      </c>
      <c r="X27" s="70">
        <f>IFERROR($S26/V$15, "")</f>
        <v>232.17290134226243</v>
      </c>
      <c r="Y27" s="174">
        <f>IFERROR($S26/V$17, "")</f>
        <v>464.34580268452487</v>
      </c>
      <c r="Z27" s="174"/>
    </row>
    <row r="28" spans="2:28" s="30" customFormat="1" ht="14.25" customHeight="1" x14ac:dyDescent="0.35">
      <c r="B28" s="659" t="s">
        <v>111</v>
      </c>
      <c r="C28" s="668"/>
      <c r="D28" s="651" t="s">
        <v>190</v>
      </c>
      <c r="E28" s="648" t="s">
        <v>191</v>
      </c>
      <c r="F28" s="670" t="s">
        <v>192</v>
      </c>
      <c r="G28" s="138"/>
      <c r="H28" s="598">
        <f>IF(AND(ISNUMBER(VLOOKUP(B28,'Health Data'!$F$6:$H$25,2,FALSE)),$J$4=0.5),SUMIFS('Health Data'!$G$6:$G$25,'Health Data'!$F$6:$F$25,RR!B28),IF(ISNUMBER(VLOOKUP(B28,'Health Data'!$F$6:$H$25,3,FALSE)),SUMIFS('Health Data'!$H$6:$H$25,'Health Data'!$F$6:$F$25,RR!B28),SUMIFS('Health Data'!$G$6:$G$25,'Health Data'!$F$6:$F$25,RR!B28)))</f>
        <v>0.97299999999999998</v>
      </c>
      <c r="I28" s="141" t="s">
        <v>89</v>
      </c>
      <c r="J28" s="301">
        <f>VLOOKUP(B28,'Health Data'!$F$6:$K$25,6,FALSE)</f>
        <v>10</v>
      </c>
      <c r="K28" s="69">
        <f>IFERROR($H28/IF($K$4="Worker",$K$10,$K$11), "")</f>
        <v>1.0613894725285513</v>
      </c>
      <c r="L28" s="69">
        <f>IFERROR($H28/(IF($K$4="Worker",$K$10,$K$11)/'List Values'!$D$14), "")</f>
        <v>10.613894725285512</v>
      </c>
      <c r="M28" s="69">
        <f>IFERROR($H28/(IF($K$4="Worker",$K$10,$K$11)/'List Values'!$D$15), "")</f>
        <v>26.53473681321378</v>
      </c>
      <c r="N28" s="69">
        <f>IFERROR($H28/(IF($K$4="Worker",$K$10,$K$11)/'List Values'!$D$16), "")</f>
        <v>53.069473626427559</v>
      </c>
      <c r="O28" s="69">
        <f>IFERROR($H28/(IF($K$4="Worker",$K$10,$K$11)/'List Values'!$D$17), "")</f>
        <v>1061.3894725285513</v>
      </c>
      <c r="P28" s="93">
        <f>IFERROR($H28/(IF($K$4="Worker",$K$10,$K$11)/'List Values'!$D$18), "")</f>
        <v>10613.894725285512</v>
      </c>
      <c r="Q28" s="93">
        <f t="shared" ref="Q28" si="3">IFERROR(H28/$K$11,"")</f>
        <v>1.6740005499409945</v>
      </c>
      <c r="R28" s="111"/>
      <c r="S28" s="598">
        <f>IF(AND(ISNUMBER(VLOOKUP(B28,'Health Data'!$F$6:$J$25,4,FALSE)),$T$4=0.5),SUMIFS('Health Data'!$I$6:$I$25,'Health Data'!$F$6:$F$25,RR!B28),IF(ISNUMBER(VLOOKUP(B28,'Health Data'!$F$6:$J$25,5,FALSE)),SUMIFS('Health Data'!$J$6:$J$25,'Health Data'!$F$6:$F$25,RR!B28),"N/A"))</f>
        <v>1.34</v>
      </c>
      <c r="T28" s="141" t="s">
        <v>89</v>
      </c>
      <c r="U28" s="301">
        <f>VLOOKUP(B28,'Health Data'!$F$6:$K$25,6,FALSE)</f>
        <v>10</v>
      </c>
      <c r="V28" s="69">
        <f>IFERROR($S28/V$10, "")</f>
        <v>0.37037105690313293</v>
      </c>
      <c r="W28" s="69">
        <f>IFERROR($S28/V$12, "")</f>
        <v>1.8518552845156646</v>
      </c>
      <c r="X28" s="69">
        <f>IFERROR($S28/V$14, "")</f>
        <v>3.7037105690313292</v>
      </c>
      <c r="Y28" s="93">
        <f>IFERROR($S28/V$16, "")</f>
        <v>7.4074211380626584</v>
      </c>
      <c r="Z28" s="93"/>
    </row>
    <row r="29" spans="2:28" s="30" customFormat="1" ht="13.5" customHeight="1" thickBot="1" x14ac:dyDescent="0.4">
      <c r="B29" s="659"/>
      <c r="C29" s="669"/>
      <c r="D29" s="652"/>
      <c r="E29" s="649"/>
      <c r="F29" s="671"/>
      <c r="G29" s="138"/>
      <c r="H29" s="599"/>
      <c r="I29" s="284" t="s">
        <v>106</v>
      </c>
      <c r="J29" s="302">
        <f>VLOOKUP(B28,'Health Data'!$F$6:$K$25,6,FALSE)</f>
        <v>10</v>
      </c>
      <c r="K29" s="87">
        <f>IFERROR($H28/IF($K$4="Worker",$K$12,$K$13), "")</f>
        <v>3.0340542978562794</v>
      </c>
      <c r="L29" s="87">
        <f>IFERROR($H28/(IF($K$4="Worker",$K$12,$K$13)/('List Values'!$D$14)), "")</f>
        <v>30.340542978562791</v>
      </c>
      <c r="M29" s="87">
        <f>IFERROR($H28/(IF($K$4="Worker",$K$12,$K$13)/'List Values'!$D$15), "")</f>
        <v>75.851357446406979</v>
      </c>
      <c r="N29" s="87">
        <f>IFERROR($H28/(IF($K$4="Worker",$K$12,$K$13)/'List Values'!$D$16), "")</f>
        <v>151.70271489281396</v>
      </c>
      <c r="O29" s="87">
        <f>IFERROR($H28/(IF($K$4="Worker",$K$12,$K$13)/'List Values'!$D$17), "")</f>
        <v>3034.0542978562794</v>
      </c>
      <c r="P29" s="107">
        <f>IFERROR($H28/(IF($K$4="Worker",$K$12,$K$13)/'List Values'!$D$18), "")</f>
        <v>30340.542978562797</v>
      </c>
      <c r="Q29" s="107">
        <f t="shared" ref="Q29" si="4">IFERROR(H28/$K$13,"")</f>
        <v>6.0891922924008561</v>
      </c>
      <c r="R29" s="111"/>
      <c r="S29" s="599"/>
      <c r="T29" s="284" t="s">
        <v>92</v>
      </c>
      <c r="U29" s="302">
        <f>VLOOKUP(B28,'Health Data'!$F$6:$K$25,6,FALSE)</f>
        <v>10</v>
      </c>
      <c r="V29" s="287">
        <f>IFERROR($S28/V$11, "")</f>
        <v>1.1111131707093989</v>
      </c>
      <c r="W29" s="287">
        <f>IFERROR($S28/V$13, "")</f>
        <v>5.5555658535469945</v>
      </c>
      <c r="X29" s="287">
        <f>IFERROR($S28/V$15, "")</f>
        <v>11.111131707093989</v>
      </c>
      <c r="Y29" s="288">
        <f>IFERROR($S28/V$17, "")</f>
        <v>22.222263414187978</v>
      </c>
      <c r="Z29" s="288"/>
    </row>
    <row r="30" spans="2:28" s="30" customFormat="1" ht="13.5" customHeight="1" thickBot="1" x14ac:dyDescent="0.4">
      <c r="B30" s="659" t="s">
        <v>113</v>
      </c>
      <c r="C30" s="569"/>
      <c r="D30" s="478"/>
      <c r="E30" s="654" t="s">
        <v>193</v>
      </c>
      <c r="F30" s="656" t="s">
        <v>192</v>
      </c>
      <c r="G30" s="138"/>
      <c r="H30" s="610">
        <f>IF(AND(ISNUMBER(FIND("12",H4)),$J$4=0.5),'Health Data'!$G$11,IF(AND(ISNUMBER(FIND("12",H4)),$J$4=0.99),'Health Data'!$H$11,IF(AND(ISERROR(FIND("12",H4)),$J$4=0.5),'Health Data'!$G$10,IF(AND(ISERROR(FIND("12",H4)),$J$4=0.99),'Health Data'!$H$10))))</f>
        <v>2.34</v>
      </c>
      <c r="I30" s="487" t="s">
        <v>89</v>
      </c>
      <c r="J30" s="488">
        <f>'Health Data'!K10</f>
        <v>10</v>
      </c>
      <c r="K30" s="69">
        <f>IFERROR($H30/IF($K$4="Worker",$L$10,$L$11), "")</f>
        <v>0.85085692556245629</v>
      </c>
      <c r="L30" s="69">
        <f>IFERROR($H30/(IF($K$4="Worker",$L$10,$L$11)/'List Values'!$D$14), "")</f>
        <v>8.5085692556245629</v>
      </c>
      <c r="M30" s="69">
        <f>IFERROR($H30/(IF($K$4="Worker",$L$10,$L$11)/'List Values'!$D$15), "")</f>
        <v>21.271423139061405</v>
      </c>
      <c r="N30" s="69">
        <f>IFERROR($H30/(IF($K$4="Worker",$L$10,$L$11)/'List Values'!$D$16), "")</f>
        <v>42.542846278122809</v>
      </c>
      <c r="O30" s="69">
        <f>IFERROR($H30/(IF($K$4="Worker",$L$10,$L$11)/'List Values'!$D$17), "")</f>
        <v>850.85692556245635</v>
      </c>
      <c r="P30" s="93">
        <f>IFERROR($H30/(IF($K$4="Worker",$L$10,$L$11)/'List Values'!$D$18), "")</f>
        <v>8508.5692556245631</v>
      </c>
      <c r="Q30" s="93">
        <f>IFERROR(H30/$L$11,"")</f>
        <v>1.3419531643925751</v>
      </c>
      <c r="R30" s="111"/>
      <c r="S30" s="610">
        <f>IF(AND(ISNUMBER(FIND("12",H4)),$T$4=0.5),'Health Data'!I11,IF(AND(ISNUMBER(FIND("12",H4)),$T$4=0.99),'Health Data'!J11,IF(AND(ISERROR(FIND("12",H4)),$T$4=0.5),'Health Data'!I10,IF(AND(ISERROR(FIND("12",H4)),$T$4=0.99),'Health Data'!J10))))</f>
        <v>1.34</v>
      </c>
      <c r="T30" s="487" t="s">
        <v>89</v>
      </c>
      <c r="U30" s="488">
        <f>'Health Data'!K11</f>
        <v>10</v>
      </c>
      <c r="V30" s="69">
        <f>IFERROR($S30/V$10, "")</f>
        <v>0.37037105690313293</v>
      </c>
      <c r="W30" s="69">
        <f>IFERROR($S30/V$12, "")</f>
        <v>1.8518552845156646</v>
      </c>
      <c r="X30" s="69">
        <f>IFERROR($S30/V$14, "")</f>
        <v>3.7037105690313292</v>
      </c>
      <c r="Y30" s="93">
        <f>IFERROR($S30/V$16, "")</f>
        <v>7.4074211380626584</v>
      </c>
      <c r="Z30" s="93"/>
    </row>
    <row r="31" spans="2:28" s="30" customFormat="1" ht="13.5" customHeight="1" thickBot="1" x14ac:dyDescent="0.4">
      <c r="B31" s="659"/>
      <c r="C31" s="569"/>
      <c r="D31" s="478"/>
      <c r="E31" s="655"/>
      <c r="F31" s="657"/>
      <c r="G31" s="138"/>
      <c r="H31" s="611"/>
      <c r="I31" s="489" t="s">
        <v>106</v>
      </c>
      <c r="J31" s="488">
        <f>'Health Data'!K11</f>
        <v>10</v>
      </c>
      <c r="K31" s="87">
        <f>IFERROR($H30/IF($K$4="Worker",$L$12,$L$13), "")</f>
        <v>2.4322326334305218</v>
      </c>
      <c r="L31" s="87">
        <f>IFERROR($H30/(IF($K$4="Worker",$L$12,$L$13)/('List Values'!$D$14)), "")</f>
        <v>24.32232633430522</v>
      </c>
      <c r="M31" s="87">
        <f>IFERROR($H30/(IF($K$4="Worker",$L$12,$L$13)/'List Values'!$D$15), "")</f>
        <v>60.805815835763049</v>
      </c>
      <c r="N31" s="87">
        <f>IFERROR($H30/(IF($K$4="Worker",$L$12,$L$13)/'List Values'!$D$16), "")</f>
        <v>121.6116316715261</v>
      </c>
      <c r="O31" s="87">
        <f>IFERROR($H30/(IF($K$4="Worker",$L$12,$L$13)/'List Values'!$D$17), "")</f>
        <v>2432.2326334305221</v>
      </c>
      <c r="P31" s="107">
        <f>IFERROR($H30/(IF($K$4="Worker",$L$12,$L$13)/'List Values'!$D$18), "")</f>
        <v>24322.32633430522</v>
      </c>
      <c r="Q31" s="107">
        <f>IFERROR(H30/$L$13,"")</f>
        <v>4.8813668942165132</v>
      </c>
      <c r="R31" s="111"/>
      <c r="S31" s="611"/>
      <c r="T31" s="489" t="s">
        <v>106</v>
      </c>
      <c r="U31" s="490">
        <f>'Health Data'!K11</f>
        <v>10</v>
      </c>
      <c r="V31" s="287">
        <f>IFERROR($S30/V$11, "")</f>
        <v>1.1111131707093989</v>
      </c>
      <c r="W31" s="287">
        <f>IFERROR($S30/V$13, "")</f>
        <v>5.5555658535469945</v>
      </c>
      <c r="X31" s="287">
        <f>IFERROR($S30/V$15, "")</f>
        <v>11.111131707093989</v>
      </c>
      <c r="Y31" s="288">
        <f>IFERROR($S30/V$17, "")</f>
        <v>22.222263414187978</v>
      </c>
      <c r="Z31" s="288"/>
    </row>
    <row r="32" spans="2:28" s="30" customFormat="1" ht="12.75" customHeight="1" x14ac:dyDescent="0.35">
      <c r="B32" s="659" t="s">
        <v>119</v>
      </c>
      <c r="C32" s="692" t="s">
        <v>194</v>
      </c>
      <c r="D32" s="650" t="s">
        <v>195</v>
      </c>
      <c r="E32" s="665" t="s">
        <v>196</v>
      </c>
      <c r="F32" s="660" t="s">
        <v>197</v>
      </c>
      <c r="G32" s="289"/>
      <c r="H32" s="598">
        <f>IF(AND(ISNUMBER(VLOOKUP(B32,'Health Data'!$F$6:$H$25,2,FALSE)),$J$4=0.5),SUMIFS('Health Data'!$G$6:$G$25,'Health Data'!$F$6:$F$25,RR!B32),IF(ISNUMBER(VLOOKUP(B32,'Health Data'!$F$6:$H$25,3,FALSE)),SUMIFS('Health Data'!$H$6:$H$25,'Health Data'!$F$6:$F$25,RR!B32),SUMIFS('Health Data'!$G$6:$G$25,'Health Data'!$F$6:$F$25,RR!B32)))</f>
        <v>9.1</v>
      </c>
      <c r="I32" s="141" t="s">
        <v>89</v>
      </c>
      <c r="J32" s="301">
        <f>VLOOKUP(B32,'Health Data'!$F$6:$K$25,6,FALSE)</f>
        <v>10</v>
      </c>
      <c r="K32" s="69">
        <f>IFERROR($H32/IF($K$4="Worker",$M$10,$M$11), "")</f>
        <v>14.010838058991709</v>
      </c>
      <c r="L32" s="69">
        <f>IFERROR($H32/(IF($K$4="Worker",$M$10,$M$11)/'List Values'!$D$14), "")</f>
        <v>140.10838058991709</v>
      </c>
      <c r="M32" s="69">
        <f>IFERROR($H32/(IF($K$4="Worker",$M$10,$M$11)/'List Values'!$D$15), "")</f>
        <v>350.2709514747927</v>
      </c>
      <c r="N32" s="69">
        <f>IFERROR($H32/(IF($K$4="Worker",$M$10,$M$11)/'List Values'!$D$16), "")</f>
        <v>700.54190294958539</v>
      </c>
      <c r="O32" s="69">
        <f>IFERROR($H32/(IF($K$4="Worker",$M$10,$M$11)/'List Values'!$D$17), "")</f>
        <v>14010.838058991709</v>
      </c>
      <c r="P32" s="93">
        <f>IFERROR($H32/(IF($K$4="Worker",$M$10,$M$11)/'List Values'!$D$18), "")</f>
        <v>140108.3805899171</v>
      </c>
      <c r="Q32" s="93">
        <f>IFERROR(H32/$M$11,"")</f>
        <v>22.153288148150811</v>
      </c>
      <c r="R32" s="137"/>
      <c r="S32" s="598">
        <f>IF(AND(ISNUMBER(VLOOKUP(B32,'Health Data'!$F$6:$J$25,4,FALSE)),$T$4=0.5),SUMIFS('Health Data'!$I$6:$I$25,'Health Data'!$F$6:$F$25,RR!B32),IF(ISNUMBER(VLOOKUP(B32,'Health Data'!$F$6:$J$25,5,FALSE)),SUMIFS('Health Data'!$J$6:$J$25,'Health Data'!$F$6:$F$25,RR!B32),"N/A"))</f>
        <v>7.9</v>
      </c>
      <c r="T32" s="141" t="s">
        <v>89</v>
      </c>
      <c r="U32" s="301">
        <f>VLOOKUP(B32,'Health Data'!$F$6:$K$25,6,FALSE)</f>
        <v>10</v>
      </c>
      <c r="V32" s="69">
        <f>IFERROR($S32/W$10, "")</f>
        <v>2.7200981676434814</v>
      </c>
      <c r="W32" s="69">
        <f>IFERROR($S32/W$12, "")</f>
        <v>13.600490838217407</v>
      </c>
      <c r="X32" s="69">
        <f>IFERROR($S32/W$14, "")</f>
        <v>27.200981676434814</v>
      </c>
      <c r="Y32" s="93">
        <f>IFERROR($S32/W$16, "")</f>
        <v>54.401963352869629</v>
      </c>
      <c r="Z32" s="93"/>
    </row>
    <row r="33" spans="1:28" s="30" customFormat="1" ht="13.5" customHeight="1" thickBot="1" x14ac:dyDescent="0.4">
      <c r="B33" s="659"/>
      <c r="C33" s="693"/>
      <c r="D33" s="651"/>
      <c r="E33" s="658"/>
      <c r="F33" s="653"/>
      <c r="G33" s="142"/>
      <c r="H33" s="599"/>
      <c r="I33" s="140" t="s">
        <v>106</v>
      </c>
      <c r="J33" s="302">
        <f>VLOOKUP(B32,'Health Data'!$F$6:$K$25,6,FALSE)</f>
        <v>10</v>
      </c>
      <c r="K33" s="87">
        <f>IFERROR($H32/IF($K$4="Worker",$M$12,$M$13), "")</f>
        <v>40.217147991585257</v>
      </c>
      <c r="L33" s="87">
        <f>IFERROR($H32/(IF($K$4="Worker",$M$12,$M$13)/('List Values'!$D$14)), "")</f>
        <v>402.1714799158525</v>
      </c>
      <c r="M33" s="87">
        <f>IFERROR($H32/(IF($K$4="Worker",$M$12,$M$13)/'List Values'!$D$15), "")</f>
        <v>1005.4286997896313</v>
      </c>
      <c r="N33" s="87">
        <f>IFERROR($H32/(IF($K$4="Worker",$M$12,$M$13)/'List Values'!$D$16), "")</f>
        <v>2010.8573995792626</v>
      </c>
      <c r="O33" s="87">
        <f>IFERROR($H32/(IF($K$4="Worker",$M$12,$M$13)/'List Values'!$D$17), "")</f>
        <v>40217.147991585254</v>
      </c>
      <c r="P33" s="107">
        <f>IFERROR($H32/(IF($K$4="Worker",$M$12,$M$13)/'List Values'!$D$18), "")</f>
        <v>402171.47991585254</v>
      </c>
      <c r="Q33" s="107">
        <f>IFERROR(H32/$M$13,"")</f>
        <v>80.669776559476006</v>
      </c>
      <c r="R33" s="111"/>
      <c r="S33" s="599"/>
      <c r="T33" s="140" t="s">
        <v>92</v>
      </c>
      <c r="U33" s="302">
        <f>VLOOKUP(B32,'Health Data'!$F$6:$K$25,6,FALSE)</f>
        <v>10</v>
      </c>
      <c r="V33" s="70">
        <f>IFERROR($S32/W$11, "")</f>
        <v>9.2673111990644212</v>
      </c>
      <c r="W33" s="70">
        <f>IFERROR($S32/W$13, "")</f>
        <v>46.336555995322101</v>
      </c>
      <c r="X33" s="70">
        <f>IFERROR($S32/W$15, "")</f>
        <v>92.673111990644202</v>
      </c>
      <c r="Y33" s="174">
        <f>IFERROR($S32/W$17, "")</f>
        <v>185.3462239812884</v>
      </c>
      <c r="Z33" s="174"/>
    </row>
    <row r="34" spans="1:28" s="30" customFormat="1" ht="12.75" customHeight="1" x14ac:dyDescent="0.35">
      <c r="B34" s="659" t="s">
        <v>121</v>
      </c>
      <c r="C34" s="693"/>
      <c r="D34" s="651" t="s">
        <v>198</v>
      </c>
      <c r="E34" s="658" t="s">
        <v>199</v>
      </c>
      <c r="F34" s="653" t="s">
        <v>200</v>
      </c>
      <c r="G34" s="138"/>
      <c r="H34" s="598">
        <f>IF(AND(ISNUMBER(VLOOKUP(B34,'Health Data'!$F$6:$H$25,2,FALSE)),$J$4=0.5),SUMIFS('Health Data'!$G$6:$G$25,'Health Data'!$F$6:$F$25,RR!B34),IF(ISNUMBER(VLOOKUP(B34,'Health Data'!$F$6:$H$25,3,FALSE)),SUMIFS('Health Data'!$H$6:$H$25,'Health Data'!$F$6:$F$25,RR!B34),SUMIFS('Health Data'!$G$6:$G$25,'Health Data'!$F$6:$F$25,RR!B34)))</f>
        <v>2.5000000000000001E-2</v>
      </c>
      <c r="I34" s="141" t="s">
        <v>89</v>
      </c>
      <c r="J34" s="301">
        <f>VLOOKUP(B34,'Health Data'!$F$6:$K$25,6,FALSE)</f>
        <v>10</v>
      </c>
      <c r="K34" s="69">
        <f>IFERROR($H34/IF($K$4="Worker",$M$10,$M$11), "")</f>
        <v>3.8491313348878328E-2</v>
      </c>
      <c r="L34" s="69">
        <f>IFERROR($H34/(IF($K$4="Worker",$M$10,$M$11)/'List Values'!$D$14), "")</f>
        <v>0.38491313348878325</v>
      </c>
      <c r="M34" s="69">
        <f>IFERROR($H34/(IF($K$4="Worker",$M$10,$M$11)/'List Values'!$D$15), "")</f>
        <v>0.96228283372195811</v>
      </c>
      <c r="N34" s="69">
        <f>IFERROR($H34/(IF($K$4="Worker",$M$10,$M$11)/'List Values'!$D$16), "")</f>
        <v>1.9245656674439162</v>
      </c>
      <c r="O34" s="69">
        <f>IFERROR($H34/(IF($K$4="Worker",$M$10,$M$11)/'List Values'!$D$17), "")</f>
        <v>38.491313348878322</v>
      </c>
      <c r="P34" s="93">
        <f>IFERROR($H34/(IF($K$4="Worker",$M$10,$M$11)/'List Values'!$D$18), "")</f>
        <v>384.91313348878327</v>
      </c>
      <c r="Q34" s="93">
        <f t="shared" ref="Q34" si="5">IFERROR(H34/$M$11,"")</f>
        <v>6.086068172568905E-2</v>
      </c>
      <c r="R34" s="143"/>
      <c r="S34" s="598">
        <f>IF(AND(ISNUMBER(VLOOKUP(B34,'Health Data'!$F$6:$J$25,4,FALSE)),$T$4=0.5),SUMIFS('Health Data'!$I$6:$I$25,'Health Data'!$F$6:$F$25,RR!B34),IF(ISNUMBER(VLOOKUP(B34,'Health Data'!$F$6:$J$25,5,FALSE)),SUMIFS('Health Data'!$J$6:$J$25,'Health Data'!$F$6:$F$25,RR!B34),"N/A"))</f>
        <v>1.4999999999999999E-2</v>
      </c>
      <c r="T34" s="141" t="s">
        <v>89</v>
      </c>
      <c r="U34" s="301">
        <f>VLOOKUP(B34,'Health Data'!$F$6:$K$25,6,FALSE)</f>
        <v>10</v>
      </c>
      <c r="V34" s="69">
        <f>IFERROR($S34/W$10, "")</f>
        <v>5.1647433562850911E-3</v>
      </c>
      <c r="W34" s="69">
        <f>IFERROR($S34/W$12, "")</f>
        <v>2.5823716781425456E-2</v>
      </c>
      <c r="X34" s="69">
        <f>IFERROR($S34/W$14, "")</f>
        <v>5.1647433562850911E-2</v>
      </c>
      <c r="Y34" s="93">
        <f>IFERROR($S34/W$16, "")</f>
        <v>0.10329486712570182</v>
      </c>
      <c r="Z34" s="93"/>
    </row>
    <row r="35" spans="1:28" s="30" customFormat="1" ht="13.5" customHeight="1" thickBot="1" x14ac:dyDescent="0.4">
      <c r="B35" s="659"/>
      <c r="C35" s="693"/>
      <c r="D35" s="651"/>
      <c r="E35" s="658"/>
      <c r="F35" s="653"/>
      <c r="G35" s="138"/>
      <c r="H35" s="599"/>
      <c r="I35" s="144" t="s">
        <v>106</v>
      </c>
      <c r="J35" s="302">
        <f>VLOOKUP(B34,'Health Data'!$F$6:$K$25,6,FALSE)</f>
        <v>10</v>
      </c>
      <c r="K35" s="87">
        <f>IFERROR($H34/IF($K$4="Worker",$M$12,$M$13), "")</f>
        <v>0.1104866703065529</v>
      </c>
      <c r="L35" s="87">
        <f>IFERROR($H34/(IF($K$4="Worker",$M$12,$M$13)/('List Values'!$D$14)), "")</f>
        <v>1.104866703065529</v>
      </c>
      <c r="M35" s="87">
        <f>IFERROR($H34/(IF($K$4="Worker",$M$12,$M$13)/'List Values'!$D$15), "")</f>
        <v>2.7621667576638225</v>
      </c>
      <c r="N35" s="87">
        <f>IFERROR($H34/(IF($K$4="Worker",$M$12,$M$13)/'List Values'!$D$16), "")</f>
        <v>5.5243335153276449</v>
      </c>
      <c r="O35" s="87">
        <f>IFERROR($H34/(IF($K$4="Worker",$M$12,$M$13)/'List Values'!$D$17), "")</f>
        <v>110.48667030655291</v>
      </c>
      <c r="P35" s="107">
        <f>IFERROR($H34/(IF($K$4="Worker",$M$12,$M$13)/'List Values'!$D$18), "")</f>
        <v>1104.866703065529</v>
      </c>
      <c r="Q35" s="107">
        <f t="shared" ref="Q35" si="6">IFERROR(H34/$M$13,"")</f>
        <v>0.22162026527328577</v>
      </c>
      <c r="R35" s="143"/>
      <c r="S35" s="599"/>
      <c r="T35" s="144" t="s">
        <v>92</v>
      </c>
      <c r="U35" s="302">
        <f>VLOOKUP(B34,'Health Data'!$F$6:$K$25,6,FALSE)</f>
        <v>10</v>
      </c>
      <c r="V35" s="70">
        <f>IFERROR($S34/W$11, "")</f>
        <v>1.7596160504552694E-2</v>
      </c>
      <c r="W35" s="70">
        <f>IFERROR($S34/W$13, "")</f>
        <v>8.7980802522763482E-2</v>
      </c>
      <c r="X35" s="70">
        <f>IFERROR($S34/W$15, "")</f>
        <v>0.17596160504552696</v>
      </c>
      <c r="Y35" s="174">
        <f>IFERROR($S34/W$17, "")</f>
        <v>0.35192321009105393</v>
      </c>
      <c r="Z35" s="174"/>
    </row>
    <row r="36" spans="1:28" s="30" customFormat="1" ht="12.75" customHeight="1" x14ac:dyDescent="0.35">
      <c r="B36" s="659" t="s">
        <v>123</v>
      </c>
      <c r="C36" s="693"/>
      <c r="D36" s="651" t="s">
        <v>201</v>
      </c>
      <c r="E36" s="658" t="s">
        <v>202</v>
      </c>
      <c r="F36" s="653" t="s">
        <v>203</v>
      </c>
      <c r="G36" s="142"/>
      <c r="H36" s="598">
        <f>IF(AND(ISNUMBER(VLOOKUP(B36,'Health Data'!$F$6:$H$25,2,FALSE)),$J$4=0.5),SUMIFS('Health Data'!$G$6:$G$25,'Health Data'!$F$6:$F$25,RR!B36),IF(ISNUMBER(VLOOKUP(B36,'Health Data'!$F$6:$H$25,3,FALSE)),SUMIFS('Health Data'!$H$6:$H$25,'Health Data'!$F$6:$F$25,RR!B36),SUMIFS('Health Data'!$G$6:$G$25,'Health Data'!$F$6:$F$25,RR!B36)))</f>
        <v>4.8</v>
      </c>
      <c r="I36" s="141" t="s">
        <v>89</v>
      </c>
      <c r="J36" s="301">
        <f>VLOOKUP(B36,'Health Data'!$F$6:$K$25,6,FALSE)</f>
        <v>300</v>
      </c>
      <c r="K36" s="69">
        <f>IFERROR($H36/IF($K$4="Worker",$M$10,$M$11), "")</f>
        <v>7.3903321629846381</v>
      </c>
      <c r="L36" s="69">
        <f>IFERROR($H36/(IF($K$4="Worker",$M$10,$M$11)/'List Values'!$D$14), "")</f>
        <v>73.903321629846374</v>
      </c>
      <c r="M36" s="69">
        <f>IFERROR($H36/(IF($K$4="Worker",$M$10,$M$11)/'List Values'!$D$15), "")</f>
        <v>184.75830407461595</v>
      </c>
      <c r="N36" s="69">
        <f>IFERROR($H36/(IF($K$4="Worker",$M$10,$M$11)/'List Values'!$D$16), "")</f>
        <v>369.5166081492319</v>
      </c>
      <c r="O36" s="69">
        <f>IFERROR($H36/(IF($K$4="Worker",$M$10,$M$11)/'List Values'!$D$17), "")</f>
        <v>7390.3321629846378</v>
      </c>
      <c r="P36" s="93">
        <f>IFERROR($H36/(IF($K$4="Worker",$M$10,$M$11)/'List Values'!$D$18), "")</f>
        <v>73903.321629846381</v>
      </c>
      <c r="Q36" s="93">
        <f t="shared" ref="Q36" si="7">IFERROR(H36/$M$11,"")</f>
        <v>11.685250891332297</v>
      </c>
      <c r="R36" s="143"/>
      <c r="S36" s="598">
        <f>IF(AND(ISNUMBER(VLOOKUP(B36,'Health Data'!$F$6:$J$25,4,FALSE)),$T$4=0.5),SUMIFS('Health Data'!$I$6:$I$25,'Health Data'!$F$6:$F$25,RR!B36),IF(ISNUMBER(VLOOKUP(B36,'Health Data'!$F$6:$J$25,5,FALSE)),SUMIFS('Health Data'!$J$6:$J$25,'Health Data'!$F$6:$F$25,RR!B36),"N/A"))</f>
        <v>6.5</v>
      </c>
      <c r="T36" s="141" t="s">
        <v>89</v>
      </c>
      <c r="U36" s="301">
        <f>VLOOKUP(B36,'Health Data'!$F$6:$K$25,6,FALSE)</f>
        <v>300</v>
      </c>
      <c r="V36" s="69">
        <f>IFERROR($S36/W$10, "")</f>
        <v>2.238055454390206</v>
      </c>
      <c r="W36" s="69">
        <f>IFERROR($S36/W$12, "")</f>
        <v>11.190277271951031</v>
      </c>
      <c r="X36" s="69">
        <f>IFERROR($S36/W$14, "")</f>
        <v>22.380554543902061</v>
      </c>
      <c r="Y36" s="93">
        <f>IFERROR($S36/W$16, "")</f>
        <v>44.761109087804122</v>
      </c>
      <c r="Z36" s="93"/>
      <c r="AB36" s="98"/>
    </row>
    <row r="37" spans="1:28" s="31" customFormat="1" ht="13.5" customHeight="1" thickBot="1" x14ac:dyDescent="0.4">
      <c r="A37" s="30"/>
      <c r="B37" s="659"/>
      <c r="C37" s="693"/>
      <c r="D37" s="651"/>
      <c r="E37" s="658"/>
      <c r="F37" s="653"/>
      <c r="G37" s="142"/>
      <c r="H37" s="599"/>
      <c r="I37" s="140" t="s">
        <v>106</v>
      </c>
      <c r="J37" s="302">
        <f>VLOOKUP(B36,'Health Data'!$F$6:$K$25,6,FALSE)</f>
        <v>300</v>
      </c>
      <c r="K37" s="87">
        <f>IFERROR($H36/IF($K$4="Worker",$M$12,$M$13), "")</f>
        <v>21.213440698858157</v>
      </c>
      <c r="L37" s="87">
        <f>IFERROR($H36/(IF($K$4="Worker",$M$12,$M$13)/('List Values'!$D$14)), "")</f>
        <v>212.13440698858156</v>
      </c>
      <c r="M37" s="87">
        <f>IFERROR($H36/(IF($K$4="Worker",$M$12,$M$13)/'List Values'!$D$15), "")</f>
        <v>530.33601747145394</v>
      </c>
      <c r="N37" s="87">
        <f>IFERROR($H36/(IF($K$4="Worker",$M$12,$M$13)/'List Values'!$D$16), "")</f>
        <v>1060.6720349429079</v>
      </c>
      <c r="O37" s="87">
        <f>IFERROR($H36/(IF($K$4="Worker",$M$12,$M$13)/'List Values'!$D$17), "")</f>
        <v>21213.440698858158</v>
      </c>
      <c r="P37" s="107">
        <f>IFERROR($H36/(IF($K$4="Worker",$M$12,$M$13)/'List Values'!$D$18), "")</f>
        <v>212134.40698858156</v>
      </c>
      <c r="Q37" s="107">
        <f t="shared" ref="Q37" si="8">IFERROR(H36/$M$13,"")</f>
        <v>42.551090932470863</v>
      </c>
      <c r="R37" s="143"/>
      <c r="S37" s="599"/>
      <c r="T37" s="140" t="s">
        <v>92</v>
      </c>
      <c r="U37" s="302">
        <f>VLOOKUP(B36,'Health Data'!$F$6:$K$25,6,FALSE)</f>
        <v>300</v>
      </c>
      <c r="V37" s="70">
        <f>IFERROR($S36/W$11, "")</f>
        <v>7.6250028853061682</v>
      </c>
      <c r="W37" s="70">
        <f>IFERROR($S36/W$13, "")</f>
        <v>38.125014426530839</v>
      </c>
      <c r="X37" s="70">
        <f>IFERROR($S36/W$15, "")</f>
        <v>76.250028853061679</v>
      </c>
      <c r="Y37" s="174">
        <f>IFERROR($S36/W$17, "")</f>
        <v>152.50005770612336</v>
      </c>
      <c r="Z37" s="174"/>
    </row>
    <row r="38" spans="1:28" s="31" customFormat="1" ht="12.75" customHeight="1" x14ac:dyDescent="0.35">
      <c r="B38" s="659" t="s">
        <v>125</v>
      </c>
      <c r="C38" s="693"/>
      <c r="D38" s="651"/>
      <c r="E38" s="658" t="s">
        <v>204</v>
      </c>
      <c r="F38" s="653" t="s">
        <v>205</v>
      </c>
      <c r="G38" s="138"/>
      <c r="H38" s="598">
        <f>IF(AND(ISNUMBER(VLOOKUP(B38,'Health Data'!$F$6:$H$25,2,FALSE)),$J$4=0.5),SUMIFS('Health Data'!$G$6:$G$25,'Health Data'!$F$6:$F$25,RR!B38),IF(ISNUMBER(VLOOKUP(B38,'Health Data'!$F$6:$H$25,3,FALSE)),SUMIFS('Health Data'!$H$6:$H$25,'Health Data'!$F$6:$F$25,RR!B38),SUMIFS('Health Data'!$G$6:$G$25,'Health Data'!$F$6:$F$25,RR!B38)))</f>
        <v>5.3</v>
      </c>
      <c r="I38" s="141" t="s">
        <v>89</v>
      </c>
      <c r="J38" s="301">
        <f>VLOOKUP(B38,'Health Data'!$F$6:$K$25,6,FALSE)</f>
        <v>10</v>
      </c>
      <c r="K38" s="69">
        <f>IFERROR($H38/IF($K$4="Worker",$M$10,$M$11), "")</f>
        <v>8.1601584299622054</v>
      </c>
      <c r="L38" s="69">
        <f>IFERROR($H38/(IF($K$4="Worker",$M$10,$M$11)/'List Values'!$D$14), "")</f>
        <v>81.601584299622047</v>
      </c>
      <c r="M38" s="69">
        <f>IFERROR($H38/(IF($K$4="Worker",$M$10,$M$11)/'List Values'!$D$15), "")</f>
        <v>204.0039607490551</v>
      </c>
      <c r="N38" s="69">
        <f>IFERROR($H38/(IF($K$4="Worker",$M$10,$M$11)/'List Values'!$D$16), "")</f>
        <v>408.00792149811019</v>
      </c>
      <c r="O38" s="69">
        <f>IFERROR($H38/(IF($K$4="Worker",$M$10,$M$11)/'List Values'!$D$17), "")</f>
        <v>8160.1584299622045</v>
      </c>
      <c r="P38" s="93">
        <f>IFERROR($H38/(IF($K$4="Worker",$M$10,$M$11)/'List Values'!$D$18), "")</f>
        <v>81601.584299622045</v>
      </c>
      <c r="Q38" s="93">
        <f t="shared" ref="Q38" si="9">IFERROR(H38/$M$11,"")</f>
        <v>12.902464525846078</v>
      </c>
      <c r="R38" s="143"/>
      <c r="S38" s="598">
        <f>IF(AND(ISNUMBER(VLOOKUP(B38,'Health Data'!$F$6:$J$25,4,FALSE)),$T$4=0.5),SUMIFS('Health Data'!$I$6:$I$25,'Health Data'!$F$6:$F$25,RR!B38),IF(ISNUMBER(VLOOKUP(B38,'Health Data'!$F$6:$J$25,5,FALSE)),SUMIFS('Health Data'!$J$6:$J$25,'Health Data'!$F$6:$F$25,RR!B38),"N/A"))</f>
        <v>7.3</v>
      </c>
      <c r="T38" s="141" t="s">
        <v>89</v>
      </c>
      <c r="U38" s="301">
        <f>VLOOKUP(B38,'Health Data'!$F$6:$K$25,6,FALSE)</f>
        <v>10</v>
      </c>
      <c r="V38" s="69">
        <f>IFERROR($S38/W$10, "")</f>
        <v>2.5135084333920776</v>
      </c>
      <c r="W38" s="69">
        <f>IFERROR($S38/W$12, "")</f>
        <v>12.567542166960388</v>
      </c>
      <c r="X38" s="69">
        <f>IFERROR($S38/W$14, "")</f>
        <v>25.135084333920776</v>
      </c>
      <c r="Y38" s="93">
        <f>IFERROR($S38/W$16, "")</f>
        <v>50.270168667841553</v>
      </c>
      <c r="Z38" s="93"/>
    </row>
    <row r="39" spans="1:28" s="31" customFormat="1" ht="13.5" customHeight="1" thickBot="1" x14ac:dyDescent="0.4">
      <c r="B39" s="659"/>
      <c r="C39" s="693"/>
      <c r="D39" s="651"/>
      <c r="E39" s="658"/>
      <c r="F39" s="653"/>
      <c r="G39" s="138"/>
      <c r="H39" s="599"/>
      <c r="I39" s="140" t="s">
        <v>106</v>
      </c>
      <c r="J39" s="302">
        <f>VLOOKUP(B38,'Health Data'!$F$6:$K$25,6,FALSE)</f>
        <v>10</v>
      </c>
      <c r="K39" s="298">
        <f>IFERROR($H38/IF($K$4="Worker",$M$12,$M$13), "")</f>
        <v>23.423174104989215</v>
      </c>
      <c r="L39" s="87">
        <f>IFERROR($H38/(IF($K$4="Worker",$M$12,$M$13)/('List Values'!$D$14)), "")</f>
        <v>234.23174104989212</v>
      </c>
      <c r="M39" s="87">
        <f>IFERROR($H38/(IF($K$4="Worker",$M$12,$M$13)/'List Values'!$D$15), "")</f>
        <v>585.5793526247304</v>
      </c>
      <c r="N39" s="87">
        <f>IFERROR($H38/(IF($K$4="Worker",$M$12,$M$13)/'List Values'!$D$16), "")</f>
        <v>1171.1587052494608</v>
      </c>
      <c r="O39" s="87">
        <f>IFERROR($H38/(IF($K$4="Worker",$M$12,$M$13)/'List Values'!$D$17), "")</f>
        <v>23423.174104989215</v>
      </c>
      <c r="P39" s="107">
        <f>IFERROR($H38/(IF($K$4="Worker",$M$12,$M$13)/'List Values'!$D$18), "")</f>
        <v>234231.74104989215</v>
      </c>
      <c r="Q39" s="107">
        <f t="shared" ref="Q39" si="10">IFERROR(H38/$M$13,"")</f>
        <v>46.983496237936578</v>
      </c>
      <c r="R39" s="143"/>
      <c r="S39" s="599"/>
      <c r="T39" s="140" t="s">
        <v>92</v>
      </c>
      <c r="U39" s="302">
        <f>VLOOKUP(B38,'Health Data'!$F$6:$K$25,6,FALSE)</f>
        <v>10</v>
      </c>
      <c r="V39" s="70">
        <f>IFERROR($S38/W$11, "")</f>
        <v>8.5634647788823113</v>
      </c>
      <c r="W39" s="70">
        <f>IFERROR($S38/W$13, "")</f>
        <v>42.817323894411558</v>
      </c>
      <c r="X39" s="70">
        <f>IFERROR($S38/W$15, "")</f>
        <v>85.634647788823116</v>
      </c>
      <c r="Y39" s="174">
        <f>IFERROR($S38/W$17, "")</f>
        <v>171.26929557764623</v>
      </c>
      <c r="Z39" s="174"/>
      <c r="AA39" s="30"/>
      <c r="AB39" s="30"/>
    </row>
    <row r="40" spans="1:28" s="31" customFormat="1" ht="12.75" customHeight="1" x14ac:dyDescent="0.35">
      <c r="B40" s="659" t="s">
        <v>127</v>
      </c>
      <c r="C40" s="693"/>
      <c r="D40" s="651" t="s">
        <v>206</v>
      </c>
      <c r="E40" s="658" t="s">
        <v>207</v>
      </c>
      <c r="F40" s="653" t="s">
        <v>208</v>
      </c>
      <c r="G40" s="142"/>
      <c r="H40" s="598">
        <f>IF(AND(ISNUMBER(VLOOKUP(B40,'Health Data'!$F$6:$H$25,2,FALSE)),$J$4=0.5),SUMIFS('Health Data'!$G$6:$G$25,'Health Data'!$F$6:$F$25,RR!B40),IF(ISNUMBER(VLOOKUP(B40,'Health Data'!$F$6:$H$25,3,FALSE)),SUMIFS('Health Data'!$H$6:$H$25,'Health Data'!$F$6:$F$25,RR!B40),SUMIFS('Health Data'!$G$6:$G$25,'Health Data'!$F$6:$F$25,RR!B40)))</f>
        <v>0.5</v>
      </c>
      <c r="I40" s="141" t="s">
        <v>89</v>
      </c>
      <c r="J40" s="301">
        <f>VLOOKUP(B40,'Health Data'!$F$6:$K$25,6,FALSE)</f>
        <v>30</v>
      </c>
      <c r="K40" s="69">
        <f>IFERROR($H40/IF($K$4="Worker",$M$10,$M$11), "")</f>
        <v>0.76982626697756651</v>
      </c>
      <c r="L40" s="69">
        <f>IFERROR($H40/(IF($K$4="Worker",$M$10,$M$11)/'List Values'!$D$14), "")</f>
        <v>7.6982626697756649</v>
      </c>
      <c r="M40" s="69">
        <f>IFERROR($H40/(IF($K$4="Worker",$M$10,$M$11)/'List Values'!$D$15), "")</f>
        <v>19.245656674439161</v>
      </c>
      <c r="N40" s="69">
        <f>IFERROR($H40/(IF($K$4="Worker",$M$10,$M$11)/'List Values'!$D$16), "")</f>
        <v>38.491313348878322</v>
      </c>
      <c r="O40" s="69">
        <f>IFERROR($H40/(IF($K$4="Worker",$M$10,$M$11)/'List Values'!$D$17), "")</f>
        <v>769.82626697756643</v>
      </c>
      <c r="P40" s="93">
        <f>IFERROR($H40/(IF($K$4="Worker",$M$10,$M$11)/'List Values'!$D$18), "")</f>
        <v>7698.262669775665</v>
      </c>
      <c r="Q40" s="93">
        <f t="shared" ref="Q40" si="11">IFERROR(H40/$M$11,"")</f>
        <v>1.217213634513781</v>
      </c>
      <c r="R40" s="143"/>
      <c r="S40" s="598">
        <f>IF(AND(ISNUMBER(VLOOKUP(B40,'Health Data'!$F$6:$J$25,4,FALSE)),$T$4=0.5),SUMIFS('Health Data'!$I$6:$I$25,'Health Data'!$F$6:$F$25,RR!B40),IF(ISNUMBER(VLOOKUP(B40,'Health Data'!$F$6:$J$25,5,FALSE)),SUMIFS('Health Data'!$J$6:$J$25,'Health Data'!$F$6:$F$25,RR!B40),"N/A"))</f>
        <v>0.73</v>
      </c>
      <c r="T40" s="141" t="s">
        <v>89</v>
      </c>
      <c r="U40" s="301">
        <f>VLOOKUP(B40,'Health Data'!$F$6:$K$25,6,FALSE)</f>
        <v>30</v>
      </c>
      <c r="V40" s="69">
        <f>IFERROR($S40/W$10, "")</f>
        <v>0.25135084333920776</v>
      </c>
      <c r="W40" s="69">
        <f>IFERROR($S40/W$12, "")</f>
        <v>1.2567542166960388</v>
      </c>
      <c r="X40" s="69">
        <f>IFERROR($S40/W$14, "")</f>
        <v>2.5135084333920776</v>
      </c>
      <c r="Y40" s="93">
        <f>IFERROR($S40/W$16, "")</f>
        <v>5.0270168667841553</v>
      </c>
      <c r="Z40" s="93"/>
      <c r="AA40" s="30"/>
      <c r="AB40" s="30"/>
    </row>
    <row r="41" spans="1:28" s="31" customFormat="1" ht="13.5" customHeight="1" thickBot="1" x14ac:dyDescent="0.4">
      <c r="B41" s="659"/>
      <c r="C41" s="693"/>
      <c r="D41" s="651"/>
      <c r="E41" s="658"/>
      <c r="F41" s="653"/>
      <c r="G41" s="142"/>
      <c r="H41" s="599"/>
      <c r="I41" s="140" t="s">
        <v>106</v>
      </c>
      <c r="J41" s="302">
        <f>VLOOKUP(B40,'Health Data'!$F$6:$K$25,6,FALSE)</f>
        <v>30</v>
      </c>
      <c r="K41" s="298">
        <f>IFERROR($H40/IF($K$4="Worker",$M$12,$M$13), "")</f>
        <v>2.2097334061310581</v>
      </c>
      <c r="L41" s="87">
        <f>IFERROR($H40/(IF($K$4="Worker",$M$12,$M$13)/('List Values'!$D$14)), "")</f>
        <v>22.09733406131058</v>
      </c>
      <c r="M41" s="87">
        <f>IFERROR($H40/(IF($K$4="Worker",$M$12,$M$13)/'List Values'!$D$15), "")</f>
        <v>55.243335153276448</v>
      </c>
      <c r="N41" s="87">
        <f>IFERROR($H40/(IF($K$4="Worker",$M$12,$M$13)/'List Values'!$D$16), "")</f>
        <v>110.4866703065529</v>
      </c>
      <c r="O41" s="87">
        <f>IFERROR($H40/(IF($K$4="Worker",$M$12,$M$13)/'List Values'!$D$17), "")</f>
        <v>2209.733406131058</v>
      </c>
      <c r="P41" s="107">
        <f>IFERROR($H40/(IF($K$4="Worker",$M$12,$M$13)/'List Values'!$D$18), "")</f>
        <v>22097.334061310579</v>
      </c>
      <c r="Q41" s="107">
        <f t="shared" ref="Q41" si="12">IFERROR(H40/$M$13,"")</f>
        <v>4.4324053054657151</v>
      </c>
      <c r="R41" s="143"/>
      <c r="S41" s="599"/>
      <c r="T41" s="140" t="s">
        <v>92</v>
      </c>
      <c r="U41" s="302">
        <f>VLOOKUP(B40,'Health Data'!$F$6:$K$25,6,FALSE)</f>
        <v>30</v>
      </c>
      <c r="V41" s="70">
        <f>IFERROR($S40/W$11, "")</f>
        <v>0.85634647788823115</v>
      </c>
      <c r="W41" s="70">
        <f>IFERROR($S40/W$13, "")</f>
        <v>4.2817323894411556</v>
      </c>
      <c r="X41" s="70">
        <f>IFERROR($S40/W$15, "")</f>
        <v>8.5634647788823113</v>
      </c>
      <c r="Y41" s="174">
        <f>IFERROR($S40/W$17, "")</f>
        <v>17.126929557764623</v>
      </c>
      <c r="Z41" s="174"/>
    </row>
    <row r="42" spans="1:28" s="31" customFormat="1" ht="12.75" customHeight="1" x14ac:dyDescent="0.35">
      <c r="B42" s="659" t="s">
        <v>129</v>
      </c>
      <c r="C42" s="693"/>
      <c r="D42" s="651"/>
      <c r="E42" s="658" t="s">
        <v>209</v>
      </c>
      <c r="F42" s="653" t="s">
        <v>189</v>
      </c>
      <c r="G42" s="142"/>
      <c r="H42" s="598">
        <f>IF(AND(ISNUMBER(VLOOKUP(B42,'Health Data'!$F$6:$H$25,2,FALSE)),$J$4=0.5),SUMIFS('Health Data'!$G$6:$G$25,'Health Data'!$F$6:$F$25,RR!B42),IF(ISNUMBER(VLOOKUP(B42,'Health Data'!$F$6:$H$25,3,FALSE)),SUMIFS('Health Data'!$H$6:$H$25,'Health Data'!$F$6:$F$25,RR!B42),SUMIFS('Health Data'!$G$6:$G$25,'Health Data'!$F$6:$F$25,RR!B42)))</f>
        <v>37</v>
      </c>
      <c r="I42" s="141" t="s">
        <v>89</v>
      </c>
      <c r="J42" s="301">
        <f>VLOOKUP(B42,'Health Data'!$F$6:$K$25,6,FALSE)</f>
        <v>100</v>
      </c>
      <c r="K42" s="69">
        <f>IFERROR($H42/IF($K$4="Worker",$M$10,$M$11), "")</f>
        <v>56.967143756339922</v>
      </c>
      <c r="L42" s="69">
        <f>IFERROR($H42/(IF($K$4="Worker",$M$10,$M$11)/'List Values'!$D$14), "")</f>
        <v>569.67143756339919</v>
      </c>
      <c r="M42" s="69">
        <f>IFERROR($H42/(IF($K$4="Worker",$M$10,$M$11)/'List Values'!$D$15), "")</f>
        <v>1424.178593908498</v>
      </c>
      <c r="N42" s="69">
        <f>IFERROR($H42/(IF($K$4="Worker",$M$10,$M$11)/'List Values'!$D$16), "")</f>
        <v>2848.357187816996</v>
      </c>
      <c r="O42" s="69">
        <f>IFERROR($H42/(IF($K$4="Worker",$M$10,$M$11)/'List Values'!$D$17), "")</f>
        <v>56967.143756339916</v>
      </c>
      <c r="P42" s="93">
        <f>IFERROR($H42/(IF($K$4="Worker",$M$10,$M$11)/'List Values'!$D$18), "")</f>
        <v>569671.4375633992</v>
      </c>
      <c r="Q42" s="93">
        <f t="shared" ref="Q42" si="13">IFERROR(H42/$M$11,"")</f>
        <v>90.073808954019782</v>
      </c>
      <c r="R42" s="143"/>
      <c r="S42" s="598">
        <f>IF(AND(ISNUMBER(VLOOKUP(B42,'Health Data'!$F$6:$J$25,4,FALSE)),$T$4=0.5),SUMIFS('Health Data'!$I$6:$I$25,'Health Data'!$F$6:$F$25,RR!B42),IF(ISNUMBER(VLOOKUP(B42,'Health Data'!$F$6:$J$25,5,FALSE)),SUMIFS('Health Data'!$J$6:$J$25,'Health Data'!$F$6:$F$25,RR!B42),"N/A"))</f>
        <v>44</v>
      </c>
      <c r="T42" s="141" t="s">
        <v>89</v>
      </c>
      <c r="U42" s="301">
        <f>VLOOKUP(B42,'Health Data'!$F$6:$K$25,6,FALSE)</f>
        <v>100</v>
      </c>
      <c r="V42" s="69">
        <f>IFERROR($S42/W$10, "")</f>
        <v>15.149913845102935</v>
      </c>
      <c r="W42" s="69">
        <f>IFERROR($S42/W$12, "")</f>
        <v>75.749569225514676</v>
      </c>
      <c r="X42" s="69">
        <f>IFERROR($S42/W$14, "")</f>
        <v>151.49913845102935</v>
      </c>
      <c r="Y42" s="93">
        <f>IFERROR($S42/W$16, "")</f>
        <v>302.99827690205871</v>
      </c>
      <c r="Z42" s="93"/>
    </row>
    <row r="43" spans="1:28" s="31" customFormat="1" ht="13.5" customHeight="1" thickBot="1" x14ac:dyDescent="0.4">
      <c r="B43" s="659"/>
      <c r="C43" s="693"/>
      <c r="D43" s="651"/>
      <c r="E43" s="658"/>
      <c r="F43" s="653"/>
      <c r="G43" s="142"/>
      <c r="H43" s="599"/>
      <c r="I43" s="140" t="s">
        <v>106</v>
      </c>
      <c r="J43" s="302">
        <f>VLOOKUP(B42,'Health Data'!$F$6:$K$25,6,FALSE)</f>
        <v>100</v>
      </c>
      <c r="K43" s="298">
        <f>IFERROR($H42/IF($K$4="Worker",$M$12,$M$13), "")</f>
        <v>163.52027205369828</v>
      </c>
      <c r="L43" s="87">
        <f>IFERROR($H42/(IF($K$4="Worker",$M$12,$M$13)/('List Values'!$D$14)), "")</f>
        <v>1635.202720536983</v>
      </c>
      <c r="M43" s="87">
        <f>IFERROR($H42/(IF($K$4="Worker",$M$12,$M$13)/'List Values'!$D$15), "")</f>
        <v>4088.0068013424575</v>
      </c>
      <c r="N43" s="87">
        <f>IFERROR($H42/(IF($K$4="Worker",$M$12,$M$13)/'List Values'!$D$16), "")</f>
        <v>8176.013602684915</v>
      </c>
      <c r="O43" s="87">
        <f>IFERROR($H42/(IF($K$4="Worker",$M$12,$M$13)/'List Values'!$D$17), "")</f>
        <v>163520.27205369828</v>
      </c>
      <c r="P43" s="107">
        <f>IFERROR($H42/(IF($K$4="Worker",$M$12,$M$13)/'List Values'!$D$18), "")</f>
        <v>1635202.7205369829</v>
      </c>
      <c r="Q43" s="107">
        <f t="shared" ref="Q43" si="14">IFERROR(H42/$M$13,"")</f>
        <v>327.99799260446292</v>
      </c>
      <c r="R43" s="143"/>
      <c r="S43" s="599"/>
      <c r="T43" s="140" t="s">
        <v>92</v>
      </c>
      <c r="U43" s="302">
        <f>VLOOKUP(B42,'Health Data'!$F$6:$K$25,6,FALSE)</f>
        <v>100</v>
      </c>
      <c r="V43" s="70">
        <f>IFERROR($S42/W$11, "")</f>
        <v>51.615404146687908</v>
      </c>
      <c r="W43" s="70">
        <f>IFERROR($S42/W$13, "")</f>
        <v>258.07702073343955</v>
      </c>
      <c r="X43" s="70">
        <f>IFERROR($S42/W$15, "")</f>
        <v>516.15404146687911</v>
      </c>
      <c r="Y43" s="174">
        <f>IFERROR($S42/W$17, "")</f>
        <v>1032.3080829337582</v>
      </c>
      <c r="Z43" s="174"/>
    </row>
    <row r="44" spans="1:28" s="31" customFormat="1" ht="12.75" customHeight="1" x14ac:dyDescent="0.35">
      <c r="B44" s="659" t="s">
        <v>131</v>
      </c>
      <c r="C44" s="693"/>
      <c r="D44" s="651" t="s">
        <v>183</v>
      </c>
      <c r="E44" s="658" t="s">
        <v>210</v>
      </c>
      <c r="F44" s="653" t="s">
        <v>185</v>
      </c>
      <c r="G44" s="142"/>
      <c r="H44" s="598">
        <f>IF(AND(ISNUMBER(VLOOKUP(B44,'Health Data'!$F$6:$H$25,2,FALSE)),$J$4=0.5),SUMIFS('Health Data'!$G$6:$G$25,'Health Data'!$F$6:$F$25,RR!B44),IF(ISNUMBER(VLOOKUP(B44,'Health Data'!$F$6:$H$25,3,FALSE)),SUMIFS('Health Data'!$H$6:$H$25,'Health Data'!$F$6:$F$25,RR!B44),SUMIFS('Health Data'!$G$6:$G$25,'Health Data'!$F$6:$F$25,RR!B44)))</f>
        <v>3.7000000000000002E-3</v>
      </c>
      <c r="I44" s="141" t="s">
        <v>89</v>
      </c>
      <c r="J44" s="301">
        <f>VLOOKUP(B44,'Health Data'!$F$6:$K$25,6,FALSE)</f>
        <v>10</v>
      </c>
      <c r="K44" s="69">
        <f>IFERROR($H44/IF($K$4="Worker",$M$10,$M$11), "")</f>
        <v>5.6967143756339921E-3</v>
      </c>
      <c r="L44" s="69">
        <f>IFERROR($H44/(IF($K$4="Worker",$M$10,$M$11)/'List Values'!$D$14), "")</f>
        <v>5.6967143756339926E-2</v>
      </c>
      <c r="M44" s="69">
        <f>IFERROR($H44/(IF($K$4="Worker",$M$10,$M$11)/'List Values'!$D$15), "")</f>
        <v>0.1424178593908498</v>
      </c>
      <c r="N44" s="69">
        <f>IFERROR($H44/(IF($K$4="Worker",$M$10,$M$11)/'List Values'!$D$16), "")</f>
        <v>0.28483571878169961</v>
      </c>
      <c r="O44" s="69">
        <f>IFERROR($H44/(IF($K$4="Worker",$M$10,$M$11)/'List Values'!$D$17), "")</f>
        <v>5.6967143756339924</v>
      </c>
      <c r="P44" s="93">
        <f>IFERROR($H44/(IF($K$4="Worker",$M$10,$M$11)/'List Values'!$D$18), "")</f>
        <v>56.967143756339922</v>
      </c>
      <c r="Q44" s="93">
        <f t="shared" ref="Q44" si="15">IFERROR(H44/$M$11,"")</f>
        <v>9.0073808954019789E-3</v>
      </c>
      <c r="R44" s="143"/>
      <c r="S44" s="598">
        <f>IF(AND(ISNUMBER(VLOOKUP(B44,'Health Data'!$F$6:$J$25,4,FALSE)),$T$4=0.5),SUMIFS('Health Data'!$I$6:$I$25,'Health Data'!$F$6:$F$25,RR!B44),IF(ISNUMBER(VLOOKUP(B44,'Health Data'!$F$6:$J$25,5,FALSE)),SUMIFS('Health Data'!$J$6:$J$25,'Health Data'!$F$6:$F$25,RR!B44),"N/A"))</f>
        <v>5.1999999999999998E-3</v>
      </c>
      <c r="T44" s="141" t="s">
        <v>89</v>
      </c>
      <c r="U44" s="301">
        <f>VLOOKUP(B44,'Health Data'!$F$6:$K$25,6,FALSE)</f>
        <v>10</v>
      </c>
      <c r="V44" s="69">
        <f>IFERROR($S44/W$10, "")</f>
        <v>1.7904443635121648E-3</v>
      </c>
      <c r="W44" s="69">
        <f>IFERROR($S44/W$12, "")</f>
        <v>8.9522218175608244E-3</v>
      </c>
      <c r="X44" s="69">
        <f>IFERROR($S44/W$14, "")</f>
        <v>1.7904443635121649E-2</v>
      </c>
      <c r="Y44" s="93">
        <f>IFERROR($S44/W$16, "")</f>
        <v>3.5808887270243298E-2</v>
      </c>
      <c r="Z44" s="93"/>
    </row>
    <row r="45" spans="1:28" s="31" customFormat="1" ht="13.5" customHeight="1" thickBot="1" x14ac:dyDescent="0.4">
      <c r="B45" s="659"/>
      <c r="C45" s="693"/>
      <c r="D45" s="651"/>
      <c r="E45" s="658"/>
      <c r="F45" s="653"/>
      <c r="G45" s="142"/>
      <c r="H45" s="599"/>
      <c r="I45" s="140" t="s">
        <v>106</v>
      </c>
      <c r="J45" s="302">
        <f>VLOOKUP(B44,'Health Data'!$F$6:$K$25,6,FALSE)</f>
        <v>10</v>
      </c>
      <c r="K45" s="298">
        <f>IFERROR($H44/IF($K$4="Worker",$M$12,$M$13), "")</f>
        <v>1.635202720536983E-2</v>
      </c>
      <c r="L45" s="87">
        <f>IFERROR($H44/(IF($K$4="Worker",$M$12,$M$13)/('List Values'!$D$14)), "")</f>
        <v>0.16352027205369829</v>
      </c>
      <c r="M45" s="87">
        <f>IFERROR($H44/(IF($K$4="Worker",$M$12,$M$13)/'List Values'!$D$15), "")</f>
        <v>0.40880068013424575</v>
      </c>
      <c r="N45" s="87">
        <f>IFERROR($H44/(IF($K$4="Worker",$M$12,$M$13)/'List Values'!$D$16), "")</f>
        <v>0.81760136026849151</v>
      </c>
      <c r="O45" s="87">
        <f>IFERROR($H44/(IF($K$4="Worker",$M$12,$M$13)/'List Values'!$D$17), "")</f>
        <v>16.352027205369829</v>
      </c>
      <c r="P45" s="107">
        <f>IFERROR($H44/(IF($K$4="Worker",$M$12,$M$13)/'List Values'!$D$18), "")</f>
        <v>163.52027205369831</v>
      </c>
      <c r="Q45" s="107">
        <f t="shared" ref="Q45" si="16">IFERROR(H44/$M$13,"")</f>
        <v>3.2799799260446294E-2</v>
      </c>
      <c r="R45" s="143"/>
      <c r="S45" s="599"/>
      <c r="T45" s="140" t="s">
        <v>92</v>
      </c>
      <c r="U45" s="302">
        <f>VLOOKUP(B44,'Health Data'!$F$6:$K$25,6,FALSE)</f>
        <v>10</v>
      </c>
      <c r="V45" s="70">
        <f>IFERROR($S44/W$11, "")</f>
        <v>6.1000023082449341E-3</v>
      </c>
      <c r="W45" s="70">
        <f>IFERROR($S44/W$13, "")</f>
        <v>3.0500011541224673E-2</v>
      </c>
      <c r="X45" s="70">
        <f>IFERROR($S44/W$15, "")</f>
        <v>6.1000023082449346E-2</v>
      </c>
      <c r="Y45" s="174">
        <f>IFERROR($S44/W$17, "")</f>
        <v>0.12200004616489869</v>
      </c>
      <c r="Z45" s="174"/>
    </row>
    <row r="46" spans="1:28" s="31" customFormat="1" ht="12.75" customHeight="1" x14ac:dyDescent="0.35">
      <c r="B46" s="659" t="s">
        <v>133</v>
      </c>
      <c r="C46" s="693"/>
      <c r="D46" s="651"/>
      <c r="E46" s="658" t="s">
        <v>186</v>
      </c>
      <c r="F46" s="653" t="s">
        <v>187</v>
      </c>
      <c r="G46" s="142"/>
      <c r="H46" s="598">
        <f>IF(AND(ISNUMBER(VLOOKUP(B46,'Health Data'!$F$6:$H$25,2,FALSE)),$J$4=0.5),SUMIFS('Health Data'!$G$6:$G$25,'Health Data'!$F$6:$F$25,RR!B46),IF(ISNUMBER(VLOOKUP(B46,'Health Data'!$F$6:$H$25,3,FALSE)),SUMIFS('Health Data'!$H$6:$H$25,'Health Data'!$F$6:$F$25,RR!B46),SUMIFS('Health Data'!$G$6:$G$25,'Health Data'!$F$6:$F$25,RR!B46)))</f>
        <v>3</v>
      </c>
      <c r="I46" s="141" t="s">
        <v>89</v>
      </c>
      <c r="J46" s="301">
        <f>VLOOKUP(B46,'Health Data'!$F$6:$K$25,6,FALSE)</f>
        <v>300</v>
      </c>
      <c r="K46" s="69">
        <f>IFERROR($H46/IF($K$4="Worker",$M$10,$M$11), "")</f>
        <v>4.6189576018653993</v>
      </c>
      <c r="L46" s="69">
        <f>IFERROR($H46/(IF($K$4="Worker",$M$10,$M$11)/'List Values'!$D$14), "")</f>
        <v>46.189576018653987</v>
      </c>
      <c r="M46" s="69">
        <f>IFERROR($H46/(IF($K$4="Worker",$M$10,$M$11)/'List Values'!$D$15), "")</f>
        <v>115.47394004663497</v>
      </c>
      <c r="N46" s="69">
        <f>IFERROR($H46/(IF($K$4="Worker",$M$10,$M$11)/'List Values'!$D$16), "")</f>
        <v>230.94788009326993</v>
      </c>
      <c r="O46" s="69">
        <f>IFERROR($H46/(IF($K$4="Worker",$M$10,$M$11)/'List Values'!$D$17), "")</f>
        <v>4618.9576018653988</v>
      </c>
      <c r="P46" s="93">
        <f>IFERROR($H46/(IF($K$4="Worker",$M$10,$M$11)/'List Values'!$D$18), "")</f>
        <v>46189.576018653985</v>
      </c>
      <c r="Q46" s="93">
        <f t="shared" ref="Q46" si="17">IFERROR(H46/$M$11,"")</f>
        <v>7.3032818070826853</v>
      </c>
      <c r="R46" s="143"/>
      <c r="S46" s="598">
        <f>IF(AND(ISNUMBER(VLOOKUP(B46,'Health Data'!$F$6:$J$25,4,FALSE)),$T$4=0.5),SUMIFS('Health Data'!$I$6:$I$25,'Health Data'!$F$6:$F$25,RR!B46),IF(ISNUMBER(VLOOKUP(B46,'Health Data'!$F$6:$J$25,5,FALSE)),SUMIFS('Health Data'!$J$6:$J$25,'Health Data'!$F$6:$F$25,RR!B46),"N/A"))</f>
        <v>4.0999999999999996</v>
      </c>
      <c r="T46" s="141" t="s">
        <v>89</v>
      </c>
      <c r="U46" s="301">
        <f>VLOOKUP(B46,'Health Data'!$F$6:$K$25,6,FALSE)</f>
        <v>300</v>
      </c>
      <c r="V46" s="69">
        <f>IFERROR($S46/W$10, "")</f>
        <v>1.4116965173845915</v>
      </c>
      <c r="W46" s="69">
        <f>IFERROR($S46/W$12, "")</f>
        <v>7.058482586922957</v>
      </c>
      <c r="X46" s="69">
        <f>IFERROR($S46/W$14, "")</f>
        <v>14.116965173845914</v>
      </c>
      <c r="Y46" s="93">
        <f>IFERROR($S46/W$16, "")</f>
        <v>28.233930347691828</v>
      </c>
      <c r="Z46" s="93"/>
    </row>
    <row r="47" spans="1:28" s="31" customFormat="1" ht="13.5" customHeight="1" thickBot="1" x14ac:dyDescent="0.4">
      <c r="B47" s="659"/>
      <c r="C47" s="693"/>
      <c r="D47" s="651"/>
      <c r="E47" s="658"/>
      <c r="F47" s="653"/>
      <c r="G47" s="142"/>
      <c r="H47" s="599"/>
      <c r="I47" s="140" t="s">
        <v>106</v>
      </c>
      <c r="J47" s="302">
        <f>VLOOKUP(B46,'Health Data'!$F$6:$K$25,6,FALSE)</f>
        <v>300</v>
      </c>
      <c r="K47" s="298">
        <f>IFERROR($H46/IF($K$4="Worker",$M$12,$M$13), "")</f>
        <v>13.258400436786347</v>
      </c>
      <c r="L47" s="87">
        <f>IFERROR($H46/(IF($K$4="Worker",$M$12,$M$13)/('List Values'!$D$14)), "")</f>
        <v>132.58400436786349</v>
      </c>
      <c r="M47" s="87">
        <f>IFERROR($H46/(IF($K$4="Worker",$M$12,$M$13)/'List Values'!$D$15), "")</f>
        <v>331.46001091965871</v>
      </c>
      <c r="N47" s="87">
        <f>IFERROR($H46/(IF($K$4="Worker",$M$12,$M$13)/'List Values'!$D$16), "")</f>
        <v>662.92002183931743</v>
      </c>
      <c r="O47" s="87">
        <f>IFERROR($H46/(IF($K$4="Worker",$M$12,$M$13)/'List Values'!$D$17), "")</f>
        <v>13258.400436786347</v>
      </c>
      <c r="P47" s="107">
        <f>IFERROR($H46/(IF($K$4="Worker",$M$12,$M$13)/'List Values'!$D$18), "")</f>
        <v>132584.00436786347</v>
      </c>
      <c r="Q47" s="107">
        <f t="shared" ref="Q47" si="18">IFERROR(H46/$M$13,"")</f>
        <v>26.594431832794289</v>
      </c>
      <c r="R47" s="143"/>
      <c r="S47" s="599"/>
      <c r="T47" s="140" t="s">
        <v>92</v>
      </c>
      <c r="U47" s="302">
        <f>VLOOKUP(B46,'Health Data'!$F$6:$K$25,6,FALSE)</f>
        <v>300</v>
      </c>
      <c r="V47" s="70">
        <f>IFERROR($S46/W$11, "")</f>
        <v>4.8096172045777363</v>
      </c>
      <c r="W47" s="70">
        <f>IFERROR($S46/W$13, "")</f>
        <v>24.048086022888683</v>
      </c>
      <c r="X47" s="70">
        <f>IFERROR($S46/W$15, "")</f>
        <v>48.096172045777365</v>
      </c>
      <c r="Y47" s="174">
        <f>IFERROR($S46/W$17, "")</f>
        <v>96.19234409155473</v>
      </c>
      <c r="Z47" s="174"/>
    </row>
    <row r="48" spans="1:28" s="31" customFormat="1" ht="12.75" customHeight="1" x14ac:dyDescent="0.35">
      <c r="B48" s="659" t="s">
        <v>135</v>
      </c>
      <c r="C48" s="693"/>
      <c r="D48" s="651"/>
      <c r="E48" s="658" t="s">
        <v>188</v>
      </c>
      <c r="F48" s="653" t="s">
        <v>189</v>
      </c>
      <c r="G48" s="142"/>
      <c r="H48" s="598">
        <f>IF(AND(ISNUMBER(VLOOKUP(B48,'Health Data'!$F$6:$H$25,2,FALSE)),$J$4=0.5),SUMIFS('Health Data'!$G$6:$G$25,'Health Data'!$F$6:$F$25,RR!B48),IF(ISNUMBER(VLOOKUP(B48,'Health Data'!$F$6:$H$25,3,FALSE)),SUMIFS('Health Data'!$H$6:$H$25,'Health Data'!$F$6:$F$25,RR!B48),SUMIFS('Health Data'!$G$6:$G$25,'Health Data'!$F$6:$F$25,RR!B48)))</f>
        <v>23</v>
      </c>
      <c r="I48" s="141" t="s">
        <v>89</v>
      </c>
      <c r="J48" s="301">
        <f>VLOOKUP(B48,'Health Data'!$F$6:$K$25,6,FALSE)</f>
        <v>10</v>
      </c>
      <c r="K48" s="69">
        <f>IFERROR($H48/IF($K$4="Worker",$M$10,$M$11), "")</f>
        <v>35.41200828096806</v>
      </c>
      <c r="L48" s="69">
        <f>IFERROR($H48/(IF($K$4="Worker",$M$10,$M$11)/'List Values'!$D$14), "")</f>
        <v>354.12008280968058</v>
      </c>
      <c r="M48" s="69">
        <f>IFERROR($H48/(IF($K$4="Worker",$M$10,$M$11)/'List Values'!$D$15), "")</f>
        <v>885.30020702420143</v>
      </c>
      <c r="N48" s="69">
        <f>IFERROR($H48/(IF($K$4="Worker",$M$10,$M$11)/'List Values'!$D$16), "")</f>
        <v>1770.6004140484029</v>
      </c>
      <c r="O48" s="69">
        <f>IFERROR($H48/(IF($K$4="Worker",$M$10,$M$11)/'List Values'!$D$17), "")</f>
        <v>35412.008280968053</v>
      </c>
      <c r="P48" s="93">
        <f>IFERROR($H48/(IF($K$4="Worker",$M$10,$M$11)/'List Values'!$D$18), "")</f>
        <v>354120.08280968055</v>
      </c>
      <c r="Q48" s="93">
        <f t="shared" ref="Q48" si="19">IFERROR(H48/$M$11,"")</f>
        <v>55.991827187633923</v>
      </c>
      <c r="R48" s="143"/>
      <c r="S48" s="598">
        <f>IF(AND(ISNUMBER(VLOOKUP(B48,'Health Data'!$F$6:$J$25,4,FALSE)),$T$4=0.5),SUMIFS('Health Data'!$I$6:$I$25,'Health Data'!$F$6:$F$25,RR!B48),IF(ISNUMBER(VLOOKUP(B48,'Health Data'!$F$6:$J$25,5,FALSE)),SUMIFS('Health Data'!$J$6:$J$25,'Health Data'!$F$6:$F$25,RR!B48),"N/A"))</f>
        <v>28</v>
      </c>
      <c r="T48" s="141" t="s">
        <v>89</v>
      </c>
      <c r="U48" s="301">
        <f>VLOOKUP(B48,'Health Data'!$F$6:$K$25,6,FALSE)</f>
        <v>10</v>
      </c>
      <c r="V48" s="69">
        <f>IFERROR($S48/W$10, "")</f>
        <v>9.6408542650655029</v>
      </c>
      <c r="W48" s="69">
        <f>IFERROR($S48/W$12, "")</f>
        <v>48.204271325327518</v>
      </c>
      <c r="X48" s="69">
        <f>IFERROR($S48/W$14, "")</f>
        <v>96.408542650655036</v>
      </c>
      <c r="Y48" s="93">
        <f>IFERROR($S48/W$16, "")</f>
        <v>192.81708530131007</v>
      </c>
      <c r="Z48" s="93"/>
    </row>
    <row r="49" spans="1:27" s="31" customFormat="1" ht="13.5" customHeight="1" thickBot="1" x14ac:dyDescent="0.4">
      <c r="B49" s="659"/>
      <c r="C49" s="693"/>
      <c r="D49" s="651"/>
      <c r="E49" s="658"/>
      <c r="F49" s="653"/>
      <c r="G49" s="142"/>
      <c r="H49" s="599"/>
      <c r="I49" s="140" t="s">
        <v>106</v>
      </c>
      <c r="J49" s="302">
        <f>VLOOKUP(B48,'Health Data'!$F$6:$K$25,6,FALSE)</f>
        <v>10</v>
      </c>
      <c r="K49" s="298">
        <f>IFERROR($H48/IF($K$4="Worker",$M$12,$M$13), "")</f>
        <v>101.64773668202866</v>
      </c>
      <c r="L49" s="87">
        <f>IFERROR($H48/(IF($K$4="Worker",$M$12,$M$13)/('List Values'!$D$14)), "")</f>
        <v>1016.4773668202866</v>
      </c>
      <c r="M49" s="87">
        <f>IFERROR($H48/(IF($K$4="Worker",$M$12,$M$13)/'List Values'!$D$15), "")</f>
        <v>2541.1934170507166</v>
      </c>
      <c r="N49" s="87">
        <f>IFERROR($H48/(IF($K$4="Worker",$M$12,$M$13)/'List Values'!$D$16), "")</f>
        <v>5082.3868341014331</v>
      </c>
      <c r="O49" s="87">
        <f>IFERROR($H48/(IF($K$4="Worker",$M$12,$M$13)/'List Values'!$D$17), "")</f>
        <v>101647.73668202867</v>
      </c>
      <c r="P49" s="107">
        <f>IFERROR($H48/(IF($K$4="Worker",$M$12,$M$13)/'List Values'!$D$18), "")</f>
        <v>1016477.3668202867</v>
      </c>
      <c r="Q49" s="107">
        <f t="shared" ref="Q49" si="20">IFERROR(H48/$M$13,"")</f>
        <v>203.8906440514229</v>
      </c>
      <c r="R49" s="143"/>
      <c r="S49" s="599"/>
      <c r="T49" s="140" t="s">
        <v>92</v>
      </c>
      <c r="U49" s="302">
        <f>VLOOKUP(B48,'Health Data'!$F$6:$K$25,6,FALSE)</f>
        <v>10</v>
      </c>
      <c r="V49" s="70">
        <f>IFERROR($S48/W$11, "")</f>
        <v>32.846166275165032</v>
      </c>
      <c r="W49" s="70">
        <f>IFERROR($S48/W$13, "")</f>
        <v>164.23083137582518</v>
      </c>
      <c r="X49" s="70">
        <f>IFERROR($S48/W$15, "")</f>
        <v>328.46166275165035</v>
      </c>
      <c r="Y49" s="174">
        <f>IFERROR($S48/W$17, "")</f>
        <v>656.9233255033007</v>
      </c>
      <c r="Z49" s="174"/>
    </row>
    <row r="50" spans="1:27" s="31" customFormat="1" ht="12.75" customHeight="1" x14ac:dyDescent="0.35">
      <c r="B50" s="659" t="s">
        <v>137</v>
      </c>
      <c r="C50" s="693"/>
      <c r="D50" s="651" t="s">
        <v>190</v>
      </c>
      <c r="E50" s="658" t="s">
        <v>211</v>
      </c>
      <c r="F50" s="653" t="s">
        <v>212</v>
      </c>
      <c r="G50" s="142"/>
      <c r="H50" s="598">
        <f>IF(AND(ISNUMBER(VLOOKUP(B50,'Health Data'!$F$6:$H$25,2,FALSE)),$J$4=0.5),SUMIFS('Health Data'!$G$6:$G$25,'Health Data'!$F$6:$F$25,RR!B50),IF(ISNUMBER(VLOOKUP(B50,'Health Data'!$F$6:$H$25,3,FALSE)),SUMIFS('Health Data'!$H$6:$H$25,'Health Data'!$F$6:$F$25,RR!B50),SUMIFS('Health Data'!$G$6:$G$25,'Health Data'!$F$6:$F$25,RR!B50)))</f>
        <v>1.7</v>
      </c>
      <c r="I50" s="141" t="s">
        <v>89</v>
      </c>
      <c r="J50" s="301">
        <f>VLOOKUP(B50,'Health Data'!$F$6:$K$25,6,FALSE)</f>
        <v>100</v>
      </c>
      <c r="K50" s="69">
        <f>IFERROR($H50/IF($K$4="Worker",$M$10,$M$11), "")</f>
        <v>2.6174093077237259</v>
      </c>
      <c r="L50" s="69">
        <f>IFERROR($H50/(IF($K$4="Worker",$M$10,$M$11)/'List Values'!$D$14), "")</f>
        <v>26.174093077237259</v>
      </c>
      <c r="M50" s="69">
        <f>IFERROR($H50/(IF($K$4="Worker",$M$10,$M$11)/'List Values'!$D$15), "")</f>
        <v>65.435232693093141</v>
      </c>
      <c r="N50" s="69">
        <f>IFERROR($H50/(IF($K$4="Worker",$M$10,$M$11)/'List Values'!$D$16), "")</f>
        <v>130.87046538618628</v>
      </c>
      <c r="O50" s="69">
        <f>IFERROR($H50/(IF($K$4="Worker",$M$10,$M$11)/'List Values'!$D$17), "")</f>
        <v>2617.4093077237258</v>
      </c>
      <c r="P50" s="93">
        <f>IFERROR($H50/(IF($K$4="Worker",$M$10,$M$11)/'List Values'!$D$18), "")</f>
        <v>26174.093077237259</v>
      </c>
      <c r="Q50" s="93">
        <f t="shared" ref="Q50" si="21">IFERROR(H50/$M$11,"")</f>
        <v>4.1385263573468549</v>
      </c>
      <c r="R50" s="110"/>
      <c r="S50" s="598">
        <f>IF(AND(ISNUMBER(VLOOKUP(B50,'Health Data'!$F$6:$J$25,4,FALSE)),$T$4=0.5),SUMIFS('Health Data'!$I$6:$I$25,'Health Data'!$F$6:$F$25,RR!B50),IF(ISNUMBER(VLOOKUP(B50,'Health Data'!$F$6:$J$25,5,FALSE)),SUMIFS('Health Data'!$J$6:$J$25,'Health Data'!$F$6:$F$25,RR!B50),"N/A"))</f>
        <v>2.5</v>
      </c>
      <c r="T50" s="141" t="s">
        <v>89</v>
      </c>
      <c r="U50" s="301">
        <f>VLOOKUP(B50,'Health Data'!$F$6:$K$25,6,FALSE)</f>
        <v>100</v>
      </c>
      <c r="V50" s="69">
        <f>IFERROR($S50/W$10, "")</f>
        <v>0.86079055938084847</v>
      </c>
      <c r="W50" s="69">
        <f>IFERROR($S50/W$12, "")</f>
        <v>4.3039527969042428</v>
      </c>
      <c r="X50" s="69">
        <f>IFERROR($S50/W$14, "")</f>
        <v>8.6079055938084856</v>
      </c>
      <c r="Y50" s="93">
        <f>IFERROR($S50/W$16, "")</f>
        <v>17.215811187616971</v>
      </c>
      <c r="Z50" s="93"/>
    </row>
    <row r="51" spans="1:27" s="31" customFormat="1" ht="13.5" customHeight="1" thickBot="1" x14ac:dyDescent="0.4">
      <c r="B51" s="659"/>
      <c r="C51" s="693"/>
      <c r="D51" s="651"/>
      <c r="E51" s="658"/>
      <c r="F51" s="653"/>
      <c r="G51" s="142"/>
      <c r="H51" s="599"/>
      <c r="I51" s="140" t="s">
        <v>106</v>
      </c>
      <c r="J51" s="302">
        <f>VLOOKUP(B50,'Health Data'!$F$6:$K$25,6,FALSE)</f>
        <v>100</v>
      </c>
      <c r="K51" s="298">
        <f>IFERROR($H50/IF($K$4="Worker",$M$12,$M$13), "")</f>
        <v>7.513093580845597</v>
      </c>
      <c r="L51" s="87">
        <f>IFERROR($H50/(IF($K$4="Worker",$M$12,$M$13)/('List Values'!$D$14)), "")</f>
        <v>75.130935808455973</v>
      </c>
      <c r="M51" s="87">
        <f>IFERROR($H50/(IF($K$4="Worker",$M$12,$M$13)/'List Values'!$D$15), "")</f>
        <v>187.82733952113992</v>
      </c>
      <c r="N51" s="87">
        <f>IFERROR($H50/(IF($K$4="Worker",$M$12,$M$13)/'List Values'!$D$16), "")</f>
        <v>375.65467904227984</v>
      </c>
      <c r="O51" s="87">
        <f>IFERROR($H50/(IF($K$4="Worker",$M$12,$M$13)/'List Values'!$D$17), "")</f>
        <v>7513.093580845597</v>
      </c>
      <c r="P51" s="107">
        <f>IFERROR($H50/(IF($K$4="Worker",$M$12,$M$13)/'List Values'!$D$18), "")</f>
        <v>75130.935808455964</v>
      </c>
      <c r="Q51" s="107">
        <f t="shared" ref="Q51" si="22">IFERROR(H50/$M$13,"")</f>
        <v>15.07017803858343</v>
      </c>
      <c r="R51" s="110"/>
      <c r="S51" s="599"/>
      <c r="T51" s="140" t="s">
        <v>92</v>
      </c>
      <c r="U51" s="302">
        <f>VLOOKUP(B50,'Health Data'!$F$6:$K$25,6,FALSE)</f>
        <v>100</v>
      </c>
      <c r="V51" s="70">
        <f>IFERROR($S50/W$11, "")</f>
        <v>2.9326934174254493</v>
      </c>
      <c r="W51" s="70">
        <f>IFERROR($S50/W$13, "")</f>
        <v>14.663467087127247</v>
      </c>
      <c r="X51" s="70">
        <f>IFERROR($S50/W$15, "")</f>
        <v>29.326934174254493</v>
      </c>
      <c r="Y51" s="174">
        <f>IFERROR($S50/W$17, "")</f>
        <v>58.653868348508986</v>
      </c>
      <c r="Z51" s="174"/>
    </row>
    <row r="52" spans="1:27" s="31" customFormat="1" ht="15" customHeight="1" x14ac:dyDescent="0.35">
      <c r="B52" s="659" t="s">
        <v>139</v>
      </c>
      <c r="C52" s="693"/>
      <c r="D52" s="651"/>
      <c r="E52" s="658" t="s">
        <v>213</v>
      </c>
      <c r="F52" s="653" t="s">
        <v>214</v>
      </c>
      <c r="G52" s="142"/>
      <c r="H52" s="598">
        <f>IF(AND(ISNUMBER(VLOOKUP(B52,'Health Data'!$F$6:$H$25,2,FALSE)),$J$4=0.5),SUMIFS('Health Data'!$G$6:$G$25,'Health Data'!$F$6:$F$25,RR!B52),IF(ISNUMBER(VLOOKUP(B52,'Health Data'!$F$6:$H$25,3,FALSE)),SUMIFS('Health Data'!$H$6:$H$25,'Health Data'!$F$6:$F$25,RR!B52),SUMIFS('Health Data'!$G$6:$G$25,'Health Data'!$F$6:$F$25,RR!B52)))</f>
        <v>3.3000000000000002E-2</v>
      </c>
      <c r="I52" s="141" t="s">
        <v>89</v>
      </c>
      <c r="J52" s="301">
        <f>VLOOKUP(B52,'Health Data'!$F$6:$K$25,6,FALSE)</f>
        <v>30</v>
      </c>
      <c r="K52" s="69">
        <f>IFERROR($H52/IF($K$4="Worker",$M$10,$M$11), "")</f>
        <v>5.0808533620519389E-2</v>
      </c>
      <c r="L52" s="69">
        <f>IFERROR($H52/(IF($K$4="Worker",$M$10,$M$11)/'List Values'!$D$14), "")</f>
        <v>0.50808533620519392</v>
      </c>
      <c r="M52" s="69">
        <f>IFERROR($H52/(IF($K$4="Worker",$M$10,$M$11)/'List Values'!$D$15), "")</f>
        <v>1.2702133405129847</v>
      </c>
      <c r="N52" s="69">
        <f>IFERROR($H52/(IF($K$4="Worker",$M$10,$M$11)/'List Values'!$D$16), "")</f>
        <v>2.5404266810259695</v>
      </c>
      <c r="O52" s="69">
        <f>IFERROR($H52/(IF($K$4="Worker",$M$10,$M$11)/'List Values'!$D$17), "")</f>
        <v>50.808533620519391</v>
      </c>
      <c r="P52" s="93">
        <f>IFERROR($H52/(IF($K$4="Worker",$M$10,$M$11)/'List Values'!$D$18), "")</f>
        <v>508.08533620519387</v>
      </c>
      <c r="Q52" s="93">
        <f t="shared" ref="Q52" si="23">IFERROR(H52/$M$11,"")</f>
        <v>8.0336099877909545E-2</v>
      </c>
      <c r="R52" s="110"/>
      <c r="S52" s="598">
        <f>IF(AND(ISNUMBER(VLOOKUP(B52,'Health Data'!$F$6:$J$25,4,FALSE)),$T$4=0.5),SUMIFS('Health Data'!$I$6:$I$25,'Health Data'!$F$6:$F$25,RR!B52),IF(ISNUMBER(VLOOKUP(B52,'Health Data'!$F$6:$J$25,5,FALSE)),SUMIFS('Health Data'!$J$6:$J$25,'Health Data'!$F$6:$F$25,RR!B52),"N/A"))</f>
        <v>4.8000000000000001E-2</v>
      </c>
      <c r="T52" s="141" t="s">
        <v>89</v>
      </c>
      <c r="U52" s="301">
        <f>VLOOKUP(B52,'Health Data'!$F$6:$K$25,6,FALSE)</f>
        <v>30</v>
      </c>
      <c r="V52" s="69">
        <f>IFERROR($S52/W$10, "")</f>
        <v>1.6527178740112291E-2</v>
      </c>
      <c r="W52" s="69">
        <f>IFERROR($S52/W$12, "")</f>
        <v>8.2635893700561458E-2</v>
      </c>
      <c r="X52" s="69">
        <f>IFERROR($S52/W$14, "")</f>
        <v>0.16527178740112292</v>
      </c>
      <c r="Y52" s="93">
        <f>IFERROR($S52/W$16, "")</f>
        <v>0.33054357480224583</v>
      </c>
      <c r="Z52" s="93"/>
    </row>
    <row r="53" spans="1:27" s="31" customFormat="1" ht="21.75" customHeight="1" thickBot="1" x14ac:dyDescent="0.4">
      <c r="B53" s="659"/>
      <c r="C53" s="693"/>
      <c r="D53" s="651"/>
      <c r="E53" s="658"/>
      <c r="F53" s="653"/>
      <c r="G53" s="290"/>
      <c r="H53" s="599"/>
      <c r="I53" s="140" t="s">
        <v>106</v>
      </c>
      <c r="J53" s="302">
        <f>VLOOKUP(B52,'Health Data'!$F$6:$K$25,6,FALSE)</f>
        <v>30</v>
      </c>
      <c r="K53" s="286">
        <f>IFERROR($H52/IF($K$4="Worker",$M$12,$M$13), "")</f>
        <v>0.14584240480464983</v>
      </c>
      <c r="L53" s="286">
        <f>IFERROR($H52/(IF($K$4="Worker",$M$12,$M$13)/('List Values'!$D$14)), "")</f>
        <v>1.4584240480464983</v>
      </c>
      <c r="M53" s="286">
        <f>IFERROR($H52/(IF($K$4="Worker",$M$12,$M$13)/'List Values'!$D$15), "")</f>
        <v>3.6460601201162457</v>
      </c>
      <c r="N53" s="286">
        <f>IFERROR($H52/(IF($K$4="Worker",$M$12,$M$13)/'List Values'!$D$16), "")</f>
        <v>7.2921202402324914</v>
      </c>
      <c r="O53" s="286">
        <f>IFERROR($H52/(IF($K$4="Worker",$M$12,$M$13)/'List Values'!$D$17), "")</f>
        <v>145.84240480464985</v>
      </c>
      <c r="P53" s="300">
        <f>IFERROR($H52/(IF($K$4="Worker",$M$12,$M$13)/'List Values'!$D$18), "")</f>
        <v>1458.4240480464985</v>
      </c>
      <c r="Q53" s="107">
        <f t="shared" ref="Q53" si="24">IFERROR(H52/$M$13,"")</f>
        <v>0.29253875016073722</v>
      </c>
      <c r="R53" s="110"/>
      <c r="S53" s="599"/>
      <c r="T53" s="140" t="s">
        <v>92</v>
      </c>
      <c r="U53" s="302">
        <f>VLOOKUP(B52,'Health Data'!$F$6:$K$25,6,FALSE)</f>
        <v>30</v>
      </c>
      <c r="V53" s="70">
        <f>IFERROR($S52/W$11, "")</f>
        <v>5.6307713614568627E-2</v>
      </c>
      <c r="W53" s="70">
        <f>IFERROR($S52/W$13, "")</f>
        <v>0.28153856807284316</v>
      </c>
      <c r="X53" s="70">
        <f>IFERROR($S52/W$15, "")</f>
        <v>0.56307713614568633</v>
      </c>
      <c r="Y53" s="174">
        <f>IFERROR($S52/W$17, "")</f>
        <v>1.1261542722913727</v>
      </c>
      <c r="Z53" s="174"/>
    </row>
    <row r="54" spans="1:27" s="31" customFormat="1" ht="21.75" customHeight="1" thickBot="1" x14ac:dyDescent="0.4">
      <c r="B54" s="659" t="s">
        <v>215</v>
      </c>
      <c r="C54" s="693"/>
      <c r="D54" s="651"/>
      <c r="E54" s="688" t="s">
        <v>216</v>
      </c>
      <c r="F54" s="690" t="s">
        <v>214</v>
      </c>
      <c r="G54" s="142"/>
      <c r="H54" s="610">
        <f>IF(AND(ISNUMBER(FIND("12",H4)),$J$4=0.5),'Health Data'!$G$24,IF(AND(ISNUMBER(FIND("12",H4)),$J$4=0.99),'Health Data'!$H$24,IF(AND(ISERROR(FIND("12",H4)),$J$4=0.5),'Health Data'!$G$23,IF(AND(ISERROR(FIND("12",H4)),$J$4=0.99),'Health Data'!$H$23))))</f>
        <v>8.3000000000000004E-2</v>
      </c>
      <c r="I54" s="487" t="s">
        <v>89</v>
      </c>
      <c r="J54" s="488">
        <f>'Health Data'!K23</f>
        <v>30</v>
      </c>
      <c r="K54" s="69">
        <f>IFERROR($H54/IF($K$4="Worker",$N$10,$N$11), "")</f>
        <v>4.2597053439425346E-2</v>
      </c>
      <c r="L54" s="69">
        <f>IFERROR($H54/(IF($K$4="Worker",$N$10,$N$11)/'List Values'!$D$14), "")</f>
        <v>0.42597053439425347</v>
      </c>
      <c r="M54" s="69">
        <f>IFERROR($H54/(IF($K$4="Worker",$N$10,$N$11)/'List Values'!$D$15), "")</f>
        <v>1.0649263359856338</v>
      </c>
      <c r="N54" s="69">
        <f>IFERROR($H54/(IF($K$4="Worker",$N$10,$N$11)/'List Values'!$D$16), "")</f>
        <v>2.1298526719712676</v>
      </c>
      <c r="O54" s="69">
        <f>IFERROR($H54/(IF($K$4="Worker",$N$10,$N$11)/'List Values'!$D$17), "")</f>
        <v>42.597053439425345</v>
      </c>
      <c r="P54" s="93">
        <f>IFERROR($H54/(IF($K$4="Worker",$N$10,$N$11)/'List Values'!$D$18), "")</f>
        <v>425.97053439425343</v>
      </c>
      <c r="Q54" s="93">
        <f>IFERROR(H54/$N$11,"")</f>
        <v>6.7352487776429201E-2</v>
      </c>
      <c r="R54" s="110"/>
      <c r="S54" s="610">
        <f>IF(AND(ISNUMBER(FIND("12",$H$4)),$T$4=0.5),'Health Data'!I24,IF(AND(ISNUMBER(FIND("12",$H$4)),$T$4=0.99),'Health Data'!J24,IF(AND(ISERROR(FIND("12",$H$4)),$T$4=0.5),'Health Data'!I23,IF(AND(ISERROR(FIND("12",$H$4)),$T$4=0.99),'Health Data'!J23))))</f>
        <v>4.8000000000000001E-2</v>
      </c>
      <c r="T54" s="487" t="s">
        <v>89</v>
      </c>
      <c r="U54" s="488">
        <f>'Health Data'!K24</f>
        <v>30</v>
      </c>
      <c r="V54" s="69">
        <f>IFERROR($S54/W$10, "")</f>
        <v>1.6527178740112291E-2</v>
      </c>
      <c r="W54" s="69">
        <f>IFERROR($S54/W$12, "")</f>
        <v>8.2635893700561458E-2</v>
      </c>
      <c r="X54" s="69">
        <f>IFERROR($S54/W$14, "")</f>
        <v>0.16527178740112292</v>
      </c>
      <c r="Y54" s="93">
        <f>IFERROR($S54/W$16, "")</f>
        <v>0.33054357480224583</v>
      </c>
      <c r="Z54" s="93"/>
    </row>
    <row r="55" spans="1:27" s="31" customFormat="1" ht="21.75" customHeight="1" thickBot="1" x14ac:dyDescent="0.4">
      <c r="B55" s="659"/>
      <c r="C55" s="693"/>
      <c r="D55" s="664"/>
      <c r="E55" s="689"/>
      <c r="F55" s="691"/>
      <c r="G55" s="142"/>
      <c r="H55" s="611"/>
      <c r="I55" s="489" t="s">
        <v>106</v>
      </c>
      <c r="J55" s="488">
        <f>'Health Data'!K24</f>
        <v>30</v>
      </c>
      <c r="K55" s="286">
        <f>IFERROR($H54/IF($K$4="Worker",$N$12,$N$13), "")</f>
        <v>0.1222719151392519</v>
      </c>
      <c r="L55" s="286">
        <f>IFERROR($H54/(IF($K$4="Worker",$N$12,$N$13)/('List Values'!$D$14)), "")</f>
        <v>1.2227191513925189</v>
      </c>
      <c r="M55" s="286">
        <f>IFERROR($H54/(IF($K$4="Worker",$N$12,$N$13)/'List Values'!$D$15), "")</f>
        <v>3.0567978784812975</v>
      </c>
      <c r="N55" s="286">
        <f>IFERROR($H54/(IF($K$4="Worker",$N$12,$N$13)/'List Values'!$D$16), "")</f>
        <v>6.1135957569625949</v>
      </c>
      <c r="O55" s="286">
        <f>IFERROR($H54/(IF($K$4="Worker",$N$12,$N$13)/'List Values'!$D$17), "")</f>
        <v>122.27191513925189</v>
      </c>
      <c r="P55" s="300">
        <f>IFERROR($H54/(IF($K$4="Worker",$N$12,$N$13)/'List Values'!$D$18), "")</f>
        <v>1222.7191513925188</v>
      </c>
      <c r="Q55" s="300">
        <f>IFERROR(H54/$N$13,"")</f>
        <v>0.24525976023576954</v>
      </c>
      <c r="R55" s="291"/>
      <c r="S55" s="611"/>
      <c r="T55" s="489" t="s">
        <v>92</v>
      </c>
      <c r="U55" s="488">
        <f>'Health Data'!K24</f>
        <v>30</v>
      </c>
      <c r="V55" s="70">
        <f>IFERROR($S54/W$11, "")</f>
        <v>5.6307713614568627E-2</v>
      </c>
      <c r="W55" s="70">
        <f>IFERROR($S54/W$13, "")</f>
        <v>0.28153856807284316</v>
      </c>
      <c r="X55" s="70">
        <f>IFERROR($S54/W$15, "")</f>
        <v>0.56307713614568633</v>
      </c>
      <c r="Y55" s="174">
        <f>IFERROR($S54/W$17, "")</f>
        <v>1.1261542722913727</v>
      </c>
      <c r="Z55" s="174"/>
    </row>
    <row r="56" spans="1:27" s="31" customFormat="1" ht="14.5" x14ac:dyDescent="0.35">
      <c r="B56" s="659" t="s">
        <v>152</v>
      </c>
      <c r="C56" s="662" t="s">
        <v>217</v>
      </c>
      <c r="D56" s="650" t="s">
        <v>218</v>
      </c>
      <c r="E56" s="665" t="s">
        <v>219</v>
      </c>
      <c r="F56" s="660" t="s">
        <v>220</v>
      </c>
      <c r="G56" s="142"/>
      <c r="H56" s="598">
        <f>VLOOKUP($B54,'Health Data'!$G$6:$M$28, 6)</f>
        <v>2.1999999999999999E-2</v>
      </c>
      <c r="I56" s="193" t="s">
        <v>89</v>
      </c>
      <c r="J56" s="330" t="s">
        <v>221</v>
      </c>
      <c r="K56" s="306">
        <f>IFERROR($H56*IF($K$4="Worker",$O$10,$O$11), "")</f>
        <v>5.7862409392873647E-3</v>
      </c>
      <c r="L56" s="69">
        <f>IFERROR($H56*(IF($K$4="Worker",$O$10,$O$11)/('List Values'!$D$14)), "")</f>
        <v>5.7862409392873645E-4</v>
      </c>
      <c r="M56" s="69">
        <f>IFERROR($H56*(IF($K$4="Worker",$O$10,$O$11)/('List Values'!$D$15)), "")</f>
        <v>2.3144963757149457E-4</v>
      </c>
      <c r="N56" s="69">
        <f>IFERROR($H56*(IF($K$4="Worker",$O$10,$O$11)/('List Values'!$D$16)), "")</f>
        <v>1.1572481878574728E-4</v>
      </c>
      <c r="O56" s="69">
        <f>IFERROR($H56*(IF($K$4="Worker",$O$10,$O$11)/('List Values'!$D$17)), "")</f>
        <v>5.7862409392873654E-6</v>
      </c>
      <c r="P56" s="93">
        <f>IFERROR($H56*(IF($K$4="Worker",$O$10,$O$11)/('List Values'!$D$18)), "")</f>
        <v>5.7862409392873648E-7</v>
      </c>
      <c r="Q56" s="93">
        <f>IF(IFERROR(H56*$O$13,"")=0,"",H56*$O$11)</f>
        <v>3.5865676455014862E-3</v>
      </c>
      <c r="R56" s="111"/>
      <c r="S56" s="598">
        <f>VLOOKUP($B54,'Health Data'!$G$6:$M$28, 7)</f>
        <v>4.6399999999999997E-2</v>
      </c>
      <c r="T56" s="193" t="s">
        <v>89</v>
      </c>
      <c r="U56" s="330" t="s">
        <v>221</v>
      </c>
      <c r="V56" s="69">
        <f>IFERROR($S56*$X10, "")</f>
        <v>6.9107611414752926E-2</v>
      </c>
      <c r="W56" s="69">
        <f>IFERROR($S56*$X12, "")</f>
        <v>1.3821522282950584E-2</v>
      </c>
      <c r="X56" s="69">
        <f>IFERROR($S56*$X14, "")</f>
        <v>6.9107611414752921E-3</v>
      </c>
      <c r="Y56" s="93">
        <f>IFERROR($S56*$X16, "")</f>
        <v>3.455380570737646E-3</v>
      </c>
      <c r="Z56" s="93"/>
    </row>
    <row r="57" spans="1:27" s="31" customFormat="1" ht="15" thickBot="1" x14ac:dyDescent="0.4">
      <c r="B57" s="659"/>
      <c r="C57" s="663"/>
      <c r="D57" s="664"/>
      <c r="E57" s="666"/>
      <c r="F57" s="661"/>
      <c r="G57" s="290"/>
      <c r="H57" s="599"/>
      <c r="I57" s="194" t="s">
        <v>92</v>
      </c>
      <c r="J57" s="331" t="s">
        <v>221</v>
      </c>
      <c r="K57" s="308">
        <f>IFERROR($H56*IF($K$4="Worker",$O$12,$O$13), "")</f>
        <v>1.8519958323732972E-3</v>
      </c>
      <c r="L57" s="70">
        <f>IFERROR($H56*(IF($K$4="Worker",$O$12,$O$13)/('List Values'!$D$14)), "")</f>
        <v>1.851995832373297E-4</v>
      </c>
      <c r="M57" s="70">
        <f>IFERROR($H56*(IF($K$4="Worker",$O$12,$O$13)/('List Values'!$D$15)), "")</f>
        <v>7.4079833294931884E-5</v>
      </c>
      <c r="N57" s="70">
        <f>IFERROR($H56*(IF($K$4="Worker",$O$12,$O$13)/('List Values'!$D$16)), "")</f>
        <v>3.7039916647465942E-5</v>
      </c>
      <c r="O57" s="70">
        <f>IFERROR($H56*(IF($K$4="Worker",$O$12,$O$13)/('List Values'!$D$17)), "")</f>
        <v>1.8519958323732973E-6</v>
      </c>
      <c r="P57" s="174">
        <f>IFERROR($H56*(IF($K$4="Worker",$O$12,$O$13)/('List Values'!$D$18)), "")</f>
        <v>1.8519958323732975E-7</v>
      </c>
      <c r="Q57" s="107">
        <f>IF(IFERROR(H56*$O$13,"")=0,"",H56*$O$13)</f>
        <v>9.3149349521191556E-4</v>
      </c>
      <c r="R57" s="112"/>
      <c r="S57" s="599"/>
      <c r="T57" s="194" t="s">
        <v>92</v>
      </c>
      <c r="U57" s="331" t="s">
        <v>221</v>
      </c>
      <c r="V57" s="70">
        <f>IFERROR($S56*$X11, "")</f>
        <v>1.5720212630693797E-2</v>
      </c>
      <c r="W57" s="70">
        <f>IFERROR($S56*$X13, "")</f>
        <v>3.144042526138759E-3</v>
      </c>
      <c r="X57" s="70">
        <f>IFERROR($S56*$X15, "")</f>
        <v>1.5720212630693795E-3</v>
      </c>
      <c r="Y57" s="174">
        <f>IFERROR($S56*$X17, "")</f>
        <v>7.8601063153468974E-4</v>
      </c>
      <c r="Z57" s="174"/>
    </row>
    <row r="58" spans="1:27" s="30" customFormat="1" x14ac:dyDescent="0.35">
      <c r="B58" s="31"/>
      <c r="C58" s="76"/>
      <c r="D58" s="121"/>
      <c r="E58" s="76"/>
      <c r="F58" s="76"/>
      <c r="G58" s="119"/>
      <c r="H58" s="119"/>
      <c r="I58" s="119"/>
      <c r="J58" s="119"/>
      <c r="K58" s="119"/>
      <c r="L58" s="119"/>
      <c r="M58" s="119"/>
      <c r="O58" s="119"/>
      <c r="P58" s="119"/>
      <c r="Q58" s="119"/>
      <c r="R58" s="119"/>
      <c r="S58" s="119"/>
    </row>
    <row r="59" spans="1:27" s="30" customFormat="1" x14ac:dyDescent="0.35">
      <c r="B59" s="120"/>
      <c r="C59" s="76"/>
      <c r="D59" s="121"/>
      <c r="E59" s="76"/>
      <c r="F59" s="76"/>
      <c r="G59" s="119"/>
      <c r="H59" s="119"/>
      <c r="I59" s="119"/>
      <c r="J59" s="119"/>
      <c r="K59" s="119"/>
      <c r="L59" s="119"/>
      <c r="M59" s="119"/>
      <c r="O59" s="119"/>
      <c r="P59" s="119"/>
      <c r="Q59" s="119"/>
      <c r="R59" s="119"/>
      <c r="S59" s="119"/>
      <c r="Z59" s="119"/>
      <c r="AA59" s="119"/>
    </row>
    <row r="60" spans="1:27" s="30" customFormat="1" x14ac:dyDescent="0.35">
      <c r="B60" s="120"/>
      <c r="C60" s="76"/>
      <c r="D60" s="121"/>
      <c r="E60" s="76"/>
      <c r="F60" s="76"/>
      <c r="G60" s="119"/>
      <c r="H60" s="119"/>
      <c r="I60" s="119"/>
      <c r="J60" s="119"/>
      <c r="K60" s="119"/>
      <c r="L60" s="119"/>
      <c r="M60" s="119"/>
      <c r="O60" s="119"/>
      <c r="P60" s="119"/>
      <c r="Q60" s="119"/>
      <c r="R60" s="119"/>
      <c r="S60" s="119"/>
      <c r="T60" s="119"/>
    </row>
    <row r="61" spans="1:27" s="30" customFormat="1" x14ac:dyDescent="0.35">
      <c r="B61" s="120"/>
      <c r="C61" s="76"/>
      <c r="D61" s="121"/>
      <c r="E61" s="76"/>
      <c r="F61" s="76"/>
      <c r="G61" s="119"/>
      <c r="H61" s="119"/>
      <c r="I61" s="119"/>
      <c r="J61" s="119"/>
      <c r="K61" s="119"/>
      <c r="L61" s="119"/>
      <c r="M61" s="119"/>
      <c r="N61" s="119"/>
      <c r="O61" s="119"/>
      <c r="P61" s="119"/>
      <c r="Q61" s="119"/>
      <c r="R61" s="119"/>
      <c r="S61" s="119"/>
      <c r="T61" s="119"/>
    </row>
    <row r="62" spans="1:27" s="30" customFormat="1" x14ac:dyDescent="0.35">
      <c r="B62" s="120"/>
      <c r="C62" s="76"/>
      <c r="D62" s="121"/>
      <c r="E62" s="76"/>
      <c r="F62" s="76"/>
      <c r="G62" s="119"/>
      <c r="H62" s="119"/>
      <c r="I62" s="119"/>
      <c r="J62" s="119"/>
      <c r="K62" s="119"/>
      <c r="L62" s="119"/>
      <c r="M62" s="119"/>
      <c r="N62" s="119"/>
      <c r="O62" s="119"/>
      <c r="P62" s="119"/>
      <c r="Q62" s="119"/>
      <c r="R62" s="119"/>
      <c r="S62" s="119"/>
      <c r="T62" s="119"/>
      <c r="U62" s="119"/>
      <c r="V62" s="119"/>
      <c r="W62" s="119"/>
      <c r="X62" s="119"/>
      <c r="Y62" s="119"/>
    </row>
    <row r="63" spans="1:27" s="30" customFormat="1" x14ac:dyDescent="0.35">
      <c r="A63" s="119"/>
      <c r="B63" s="120"/>
      <c r="C63" s="76"/>
      <c r="D63" s="121"/>
      <c r="E63" s="76"/>
      <c r="F63" s="76"/>
      <c r="G63" s="119"/>
      <c r="H63" s="119"/>
      <c r="I63" s="119"/>
      <c r="J63" s="119"/>
      <c r="K63" s="119"/>
      <c r="L63" s="119"/>
      <c r="M63" s="119"/>
      <c r="N63" s="119"/>
      <c r="O63" s="119"/>
      <c r="P63" s="119"/>
      <c r="Q63" s="119"/>
      <c r="R63" s="119"/>
      <c r="S63" s="119"/>
      <c r="T63" s="119"/>
      <c r="U63" s="119"/>
      <c r="V63" s="119"/>
      <c r="W63" s="119"/>
      <c r="X63" s="119"/>
      <c r="Y63" s="119"/>
    </row>
    <row r="65" spans="2:25" x14ac:dyDescent="0.35">
      <c r="C65" s="119"/>
      <c r="D65" s="119"/>
      <c r="E65" s="119"/>
    </row>
    <row r="66" spans="2:25" x14ac:dyDescent="0.35">
      <c r="C66" s="119"/>
      <c r="D66" s="119"/>
      <c r="E66" s="119"/>
    </row>
    <row r="67" spans="2:25" x14ac:dyDescent="0.35">
      <c r="C67" s="119"/>
      <c r="D67" s="119"/>
      <c r="E67" s="119"/>
    </row>
    <row r="68" spans="2:25" x14ac:dyDescent="0.35">
      <c r="C68" s="119"/>
      <c r="D68" s="119"/>
      <c r="E68" s="119"/>
      <c r="I68" s="30"/>
      <c r="J68" s="30"/>
      <c r="K68" s="30"/>
      <c r="L68" s="30"/>
      <c r="M68" s="30"/>
    </row>
    <row r="73" spans="2:25" x14ac:dyDescent="0.35">
      <c r="D73" s="119"/>
      <c r="E73" s="119"/>
      <c r="F73" s="119"/>
      <c r="O73" s="30"/>
      <c r="P73" s="30"/>
      <c r="Q73" s="30"/>
      <c r="R73" s="30"/>
      <c r="S73" s="30"/>
    </row>
    <row r="74" spans="2:25" x14ac:dyDescent="0.35">
      <c r="C74" s="73"/>
      <c r="D74" s="119"/>
      <c r="E74" s="119"/>
      <c r="F74" s="119"/>
      <c r="G74" s="30"/>
      <c r="H74" s="30"/>
    </row>
    <row r="76" spans="2:25" x14ac:dyDescent="0.35">
      <c r="B76" s="31"/>
    </row>
    <row r="77" spans="2:25" x14ac:dyDescent="0.35">
      <c r="B77" s="145"/>
      <c r="T77" s="30"/>
    </row>
    <row r="78" spans="2:25" x14ac:dyDescent="0.35">
      <c r="B78" s="145"/>
      <c r="I78" s="146"/>
      <c r="J78" s="146"/>
      <c r="K78" s="146"/>
      <c r="L78" s="146"/>
      <c r="M78" s="146"/>
      <c r="N78" s="30"/>
    </row>
    <row r="79" spans="2:25" x14ac:dyDescent="0.35">
      <c r="B79" s="145"/>
      <c r="I79" s="146"/>
      <c r="J79" s="146"/>
      <c r="K79" s="146"/>
      <c r="L79" s="146"/>
      <c r="M79" s="146"/>
      <c r="U79" s="30"/>
      <c r="V79" s="30"/>
      <c r="W79" s="30"/>
      <c r="X79" s="30"/>
      <c r="Y79" s="30"/>
    </row>
    <row r="80" spans="2:25" x14ac:dyDescent="0.35">
      <c r="B80" s="145"/>
      <c r="C80" s="148"/>
      <c r="D80" s="149"/>
      <c r="E80" s="148"/>
      <c r="S80" s="147"/>
      <c r="T80" s="147"/>
      <c r="U80" s="147"/>
    </row>
    <row r="81" spans="1:25" s="30" customFormat="1" ht="26" x14ac:dyDescent="0.35">
      <c r="A81" s="119"/>
      <c r="B81" s="145"/>
      <c r="C81" s="76"/>
      <c r="D81" s="121"/>
      <c r="E81" s="148"/>
      <c r="F81" s="146"/>
      <c r="G81" s="147"/>
      <c r="H81" s="180" t="s">
        <v>155</v>
      </c>
      <c r="I81" s="150" t="str">
        <f>I56</f>
        <v>High End</v>
      </c>
      <c r="J81" s="150" t="str">
        <f>I57</f>
        <v>Central Tendency</v>
      </c>
      <c r="K81" s="119"/>
      <c r="L81" s="119"/>
      <c r="M81" s="119"/>
      <c r="N81" s="119"/>
      <c r="O81" s="119"/>
      <c r="P81" s="119"/>
      <c r="Q81" s="119"/>
      <c r="R81" s="119"/>
      <c r="S81" s="195" t="s">
        <v>157</v>
      </c>
      <c r="T81" s="150" t="str">
        <f>T56</f>
        <v>High End</v>
      </c>
      <c r="U81" s="150" t="str">
        <f>T57</f>
        <v>Central Tendency</v>
      </c>
      <c r="V81" s="119"/>
      <c r="W81" s="119"/>
      <c r="X81" s="119"/>
      <c r="Y81" s="119"/>
    </row>
    <row r="82" spans="1:25" x14ac:dyDescent="0.35">
      <c r="H82" s="559" t="s">
        <v>173</v>
      </c>
      <c r="I82" s="151">
        <f>K56</f>
        <v>5.7862409392873647E-3</v>
      </c>
      <c r="J82" s="151">
        <f>K57</f>
        <v>1.8519958323732972E-3</v>
      </c>
      <c r="S82" s="95" t="s">
        <v>222</v>
      </c>
      <c r="T82" s="151">
        <f>V56</f>
        <v>6.9107611414752926E-2</v>
      </c>
      <c r="U82" s="151">
        <f>V57</f>
        <v>1.5720212630693797E-2</v>
      </c>
    </row>
    <row r="83" spans="1:25" x14ac:dyDescent="0.35">
      <c r="H83" s="559" t="s">
        <v>174</v>
      </c>
      <c r="I83" s="151">
        <f>L56</f>
        <v>5.7862409392873645E-4</v>
      </c>
      <c r="J83" s="151">
        <f>L57</f>
        <v>1.851995832373297E-4</v>
      </c>
      <c r="S83" s="95" t="s">
        <v>223</v>
      </c>
      <c r="T83" s="151">
        <f>W56</f>
        <v>1.3821522282950584E-2</v>
      </c>
      <c r="U83" s="151">
        <f>W57</f>
        <v>3.144042526138759E-3</v>
      </c>
    </row>
    <row r="84" spans="1:25" ht="26" x14ac:dyDescent="0.35">
      <c r="H84" s="559" t="s">
        <v>175</v>
      </c>
      <c r="I84" s="151">
        <f>M56</f>
        <v>2.3144963757149457E-4</v>
      </c>
      <c r="J84" s="151">
        <f>M57</f>
        <v>7.4079833294931884E-5</v>
      </c>
      <c r="S84" s="95" t="s">
        <v>224</v>
      </c>
      <c r="T84" s="151">
        <f>X56</f>
        <v>6.9107611414752921E-3</v>
      </c>
      <c r="U84" s="151">
        <f>X57</f>
        <v>1.5720212630693795E-3</v>
      </c>
    </row>
    <row r="85" spans="1:25" ht="26" x14ac:dyDescent="0.35">
      <c r="A85" s="119" t="s">
        <v>225</v>
      </c>
      <c r="H85" s="559" t="s">
        <v>176</v>
      </c>
      <c r="I85" s="151">
        <f>N56</f>
        <v>1.1572481878574728E-4</v>
      </c>
      <c r="J85" s="151">
        <f>N57</f>
        <v>3.7039916647465942E-5</v>
      </c>
      <c r="S85" s="95" t="s">
        <v>226</v>
      </c>
      <c r="T85" s="151">
        <f>Y56</f>
        <v>3.455380570737646E-3</v>
      </c>
      <c r="U85" s="151">
        <f>Y57</f>
        <v>7.8601063153468974E-4</v>
      </c>
    </row>
    <row r="86" spans="1:25" x14ac:dyDescent="0.35">
      <c r="H86" s="559" t="s">
        <v>177</v>
      </c>
      <c r="I86" s="151">
        <f>O56</f>
        <v>5.7862409392873654E-6</v>
      </c>
      <c r="J86" s="151">
        <f>O57</f>
        <v>1.8519958323732973E-6</v>
      </c>
      <c r="U86" s="152"/>
    </row>
    <row r="87" spans="1:25" x14ac:dyDescent="0.35">
      <c r="H87" s="559" t="s">
        <v>178</v>
      </c>
      <c r="I87" s="151">
        <f>P56</f>
        <v>5.7862409392873648E-7</v>
      </c>
      <c r="J87" s="151">
        <f>P57</f>
        <v>1.8519958323732975E-7</v>
      </c>
    </row>
  </sheetData>
  <sheetProtection algorithmName="SHA-512" hashValue="tEre4+7B8hRFCJDejKPfBskS6P/LneoOqx8U7901qaWVELU1Z7j1mpVFTUNMFx2dJCreg+LOXBKuwgYuP9ufKQ==" saltValue="Qc1B0Kz/tUJhsFaqhmRU0g==" spinCount="100000" sheet="1" objects="1" scenarios="1" formatCells="0" formatColumns="0" formatRows="0" insertColumns="0"/>
  <dataConsolidate link="1"/>
  <mergeCells count="127">
    <mergeCell ref="Z20:Z21"/>
    <mergeCell ref="H30:H31"/>
    <mergeCell ref="B30:B31"/>
    <mergeCell ref="B56:B57"/>
    <mergeCell ref="E54:E55"/>
    <mergeCell ref="F54:F55"/>
    <mergeCell ref="D50:D55"/>
    <mergeCell ref="C32:C55"/>
    <mergeCell ref="H54:H55"/>
    <mergeCell ref="S54:S55"/>
    <mergeCell ref="S30:S31"/>
    <mergeCell ref="B26:B27"/>
    <mergeCell ref="H26:H27"/>
    <mergeCell ref="S26:S27"/>
    <mergeCell ref="B24:B25"/>
    <mergeCell ref="H24:H25"/>
    <mergeCell ref="S24:S25"/>
    <mergeCell ref="F24:F25"/>
    <mergeCell ref="F26:F27"/>
    <mergeCell ref="V20:Y20"/>
    <mergeCell ref="B22:B23"/>
    <mergeCell ref="H22:H23"/>
    <mergeCell ref="S22:S23"/>
    <mergeCell ref="F20:F21"/>
    <mergeCell ref="I10:I11"/>
    <mergeCell ref="I12:I13"/>
    <mergeCell ref="U20:U21"/>
    <mergeCell ref="H8:H9"/>
    <mergeCell ref="I8:I9"/>
    <mergeCell ref="S8:S9"/>
    <mergeCell ref="L19:M19"/>
    <mergeCell ref="I2:K2"/>
    <mergeCell ref="T20:T21"/>
    <mergeCell ref="T8:T9"/>
    <mergeCell ref="S10:S11"/>
    <mergeCell ref="S12:S13"/>
    <mergeCell ref="S16:S17"/>
    <mergeCell ref="S14:S15"/>
    <mergeCell ref="S2:T2"/>
    <mergeCell ref="H20:H21"/>
    <mergeCell ref="I20:I21"/>
    <mergeCell ref="J20:J21"/>
    <mergeCell ref="S20:S21"/>
    <mergeCell ref="K20:P20"/>
    <mergeCell ref="D20:E21"/>
    <mergeCell ref="C20:C21"/>
    <mergeCell ref="F22:F23"/>
    <mergeCell ref="E22:E23"/>
    <mergeCell ref="B32:B33"/>
    <mergeCell ref="H32:H33"/>
    <mergeCell ref="S32:S33"/>
    <mergeCell ref="B46:B47"/>
    <mergeCell ref="H46:H47"/>
    <mergeCell ref="S46:S47"/>
    <mergeCell ref="B28:B29"/>
    <mergeCell ref="H28:H29"/>
    <mergeCell ref="S28:S29"/>
    <mergeCell ref="F36:F37"/>
    <mergeCell ref="B38:B39"/>
    <mergeCell ref="H38:H39"/>
    <mergeCell ref="S38:S39"/>
    <mergeCell ref="F38:F39"/>
    <mergeCell ref="B34:B35"/>
    <mergeCell ref="H34:H35"/>
    <mergeCell ref="S34:S35"/>
    <mergeCell ref="B36:B37"/>
    <mergeCell ref="H36:H37"/>
    <mergeCell ref="S36:S37"/>
    <mergeCell ref="C22:C29"/>
    <mergeCell ref="D22:D27"/>
    <mergeCell ref="E24:E25"/>
    <mergeCell ref="E26:E27"/>
    <mergeCell ref="B42:B43"/>
    <mergeCell ref="H42:H43"/>
    <mergeCell ref="S42:S43"/>
    <mergeCell ref="F50:F51"/>
    <mergeCell ref="F40:F41"/>
    <mergeCell ref="B40:B41"/>
    <mergeCell ref="H40:H41"/>
    <mergeCell ref="S40:S41"/>
    <mergeCell ref="E50:E51"/>
    <mergeCell ref="D40:D43"/>
    <mergeCell ref="E40:E41"/>
    <mergeCell ref="E42:E43"/>
    <mergeCell ref="D34:D35"/>
    <mergeCell ref="E34:E35"/>
    <mergeCell ref="D36:D39"/>
    <mergeCell ref="E36:E37"/>
    <mergeCell ref="E38:E39"/>
    <mergeCell ref="F28:F29"/>
    <mergeCell ref="F32:F33"/>
    <mergeCell ref="E32:E33"/>
    <mergeCell ref="B54:B55"/>
    <mergeCell ref="F56:F57"/>
    <mergeCell ref="B52:B53"/>
    <mergeCell ref="H52:H53"/>
    <mergeCell ref="S52:S53"/>
    <mergeCell ref="B50:B51"/>
    <mergeCell ref="H50:H51"/>
    <mergeCell ref="S50:S51"/>
    <mergeCell ref="F48:F49"/>
    <mergeCell ref="E52:E53"/>
    <mergeCell ref="B48:B49"/>
    <mergeCell ref="H48:H49"/>
    <mergeCell ref="S48:S49"/>
    <mergeCell ref="D44:D49"/>
    <mergeCell ref="E44:E45"/>
    <mergeCell ref="F44:F45"/>
    <mergeCell ref="B44:B45"/>
    <mergeCell ref="H56:H57"/>
    <mergeCell ref="S56:S57"/>
    <mergeCell ref="H44:H45"/>
    <mergeCell ref="S44:S45"/>
    <mergeCell ref="C56:C57"/>
    <mergeCell ref="D56:D57"/>
    <mergeCell ref="E56:E57"/>
    <mergeCell ref="E28:E29"/>
    <mergeCell ref="D32:D33"/>
    <mergeCell ref="D28:D29"/>
    <mergeCell ref="F46:F47"/>
    <mergeCell ref="F42:F43"/>
    <mergeCell ref="F34:F35"/>
    <mergeCell ref="F52:F53"/>
    <mergeCell ref="E30:E31"/>
    <mergeCell ref="F30:F31"/>
    <mergeCell ref="E46:E47"/>
    <mergeCell ref="E48:E49"/>
  </mergeCells>
  <phoneticPr fontId="43" type="noConversion"/>
  <conditionalFormatting sqref="V22:Y57 K22:P57">
    <cfRule type="cellIs" dxfId="298" priority="165" operator="between">
      <formula>1</formula>
      <formula>0.1</formula>
    </cfRule>
    <cfRule type="cellIs" dxfId="297" priority="171" operator="lessThanOrEqual">
      <formula>0.1</formula>
    </cfRule>
    <cfRule type="cellIs" dxfId="296" priority="177" operator="greaterThanOrEqual">
      <formula>1</formula>
    </cfRule>
  </conditionalFormatting>
  <conditionalFormatting sqref="K20 V22:Y55">
    <cfRule type="containsBlanks" dxfId="295" priority="181" stopIfTrue="1">
      <formula>LEN(TRIM(K20))=0</formula>
    </cfRule>
  </conditionalFormatting>
  <conditionalFormatting sqref="K56:K57">
    <cfRule type="containsBlanks" dxfId="294" priority="155" stopIfTrue="1">
      <formula>LEN(TRIM(K56))=0</formula>
    </cfRule>
  </conditionalFormatting>
  <conditionalFormatting sqref="V56:Y57 K56:P57">
    <cfRule type="cellIs" dxfId="293" priority="158" operator="greaterThanOrEqual">
      <formula>0.0001</formula>
    </cfRule>
    <cfRule type="cellIs" dxfId="292" priority="160" operator="lessThanOrEqual">
      <formula>0.0001</formula>
    </cfRule>
  </conditionalFormatting>
  <conditionalFormatting sqref="K22:P55">
    <cfRule type="containsBlanks" dxfId="291" priority="141" stopIfTrue="1">
      <formula>LEN(TRIM(K22))=0</formula>
    </cfRule>
  </conditionalFormatting>
  <conditionalFormatting sqref="K22:P55">
    <cfRule type="cellIs" dxfId="290" priority="273" operator="lessThan">
      <formula>$J22</formula>
    </cfRule>
    <cfRule type="cellIs" dxfId="289" priority="274" operator="greaterThanOrEqual">
      <formula>$J22</formula>
    </cfRule>
  </conditionalFormatting>
  <conditionalFormatting sqref="V22:Y55">
    <cfRule type="cellIs" dxfId="288" priority="275" operator="greaterThanOrEqual">
      <formula>$U22</formula>
    </cfRule>
    <cfRule type="cellIs" dxfId="287" priority="276" operator="lessThan">
      <formula>$U22</formula>
    </cfRule>
  </conditionalFormatting>
  <conditionalFormatting sqref="U10:X17">
    <cfRule type="cellIs" dxfId="286" priority="140" operator="between">
      <formula>1</formula>
      <formula>0.1</formula>
    </cfRule>
    <cfRule type="cellIs" dxfId="285" priority="148" operator="lessThanOrEqual">
      <formula>0.1</formula>
    </cfRule>
    <cfRule type="cellIs" dxfId="284" priority="149" operator="greaterThanOrEqual">
      <formula>1</formula>
    </cfRule>
  </conditionalFormatting>
  <conditionalFormatting sqref="H22:H23">
    <cfRule type="cellIs" dxfId="283" priority="122" operator="between">
      <formula>1</formula>
      <formula>0.01</formula>
    </cfRule>
    <cfRule type="containsBlanks" dxfId="282" priority="123" stopIfTrue="1">
      <formula>LEN(TRIM(H22))=0</formula>
    </cfRule>
    <cfRule type="cellIs" dxfId="281" priority="124" operator="lessThanOrEqual">
      <formula>0.1</formula>
    </cfRule>
    <cfRule type="cellIs" dxfId="280" priority="125" operator="greaterThanOrEqual">
      <formula>1</formula>
    </cfRule>
  </conditionalFormatting>
  <conditionalFormatting sqref="H24:H29 H32:H53 H56:H57">
    <cfRule type="containsBlanks" dxfId="279" priority="118" stopIfTrue="1">
      <formula>LEN(TRIM(H24))=0</formula>
    </cfRule>
    <cfRule type="cellIs" dxfId="278" priority="119" operator="lessThanOrEqual">
      <formula>0.1</formula>
    </cfRule>
    <cfRule type="cellIs" dxfId="277" priority="120" operator="greaterThanOrEqual">
      <formula>1</formula>
    </cfRule>
    <cfRule type="cellIs" dxfId="276" priority="121" operator="between">
      <formula>1</formula>
      <formula>0.01</formula>
    </cfRule>
  </conditionalFormatting>
  <conditionalFormatting sqref="S24:S29 S32:S53 S56:S57">
    <cfRule type="containsBlanks" dxfId="275" priority="110" stopIfTrue="1">
      <formula>LEN(TRIM(S24))=0</formula>
    </cfRule>
    <cfRule type="cellIs" dxfId="274" priority="111" operator="lessThanOrEqual">
      <formula>0.1</formula>
    </cfRule>
    <cfRule type="cellIs" dxfId="273" priority="112" operator="greaterThanOrEqual">
      <formula>1</formula>
    </cfRule>
    <cfRule type="cellIs" dxfId="272" priority="113" operator="between">
      <formula>1</formula>
      <formula>0.01</formula>
    </cfRule>
  </conditionalFormatting>
  <conditionalFormatting sqref="S22:S23">
    <cfRule type="cellIs" dxfId="271" priority="114" operator="between">
      <formula>1</formula>
      <formula>0.01</formula>
    </cfRule>
    <cfRule type="containsBlanks" dxfId="270" priority="115" stopIfTrue="1">
      <formula>LEN(TRIM(S22))=0</formula>
    </cfRule>
    <cfRule type="cellIs" dxfId="269" priority="116" operator="lessThanOrEqual">
      <formula>0.1</formula>
    </cfRule>
    <cfRule type="cellIs" dxfId="268" priority="117" operator="greaterThanOrEqual">
      <formula>1</formula>
    </cfRule>
  </conditionalFormatting>
  <conditionalFormatting sqref="J10:K13 M10:O13">
    <cfRule type="cellIs" priority="55" stopIfTrue="1" operator="equal">
      <formula>0</formula>
    </cfRule>
  </conditionalFormatting>
  <conditionalFormatting sqref="J10:K13 M10:O13">
    <cfRule type="cellIs" dxfId="267" priority="56" operator="between">
      <formula>1</formula>
      <formula>0.01</formula>
    </cfRule>
    <cfRule type="containsBlanks" dxfId="266" priority="57" stopIfTrue="1">
      <formula>LEN(TRIM(J10))=0</formula>
    </cfRule>
    <cfRule type="cellIs" dxfId="265" priority="58" operator="lessThanOrEqual">
      <formula>0.1</formula>
    </cfRule>
    <cfRule type="cellIs" dxfId="264" priority="59" operator="greaterThanOrEqual">
      <formula>1</formula>
    </cfRule>
  </conditionalFormatting>
  <conditionalFormatting sqref="L10:L13">
    <cfRule type="cellIs" priority="50" stopIfTrue="1" operator="equal">
      <formula>0</formula>
    </cfRule>
  </conditionalFormatting>
  <conditionalFormatting sqref="L10:L13">
    <cfRule type="cellIs" dxfId="263" priority="51" operator="between">
      <formula>1</formula>
      <formula>0.01</formula>
    </cfRule>
    <cfRule type="containsBlanks" dxfId="262" priority="52" stopIfTrue="1">
      <formula>LEN(TRIM(L10))=0</formula>
    </cfRule>
    <cfRule type="cellIs" dxfId="261" priority="53" operator="lessThanOrEqual">
      <formula>0.1</formula>
    </cfRule>
    <cfRule type="cellIs" dxfId="260" priority="54" operator="greaterThanOrEqual">
      <formula>1</formula>
    </cfRule>
  </conditionalFormatting>
  <conditionalFormatting sqref="Q22:Q55">
    <cfRule type="cellIs" dxfId="259" priority="45" operator="between">
      <formula>1</formula>
      <formula>0.1</formula>
    </cfRule>
    <cfRule type="cellIs" dxfId="258" priority="46" operator="lessThanOrEqual">
      <formula>0.1</formula>
    </cfRule>
    <cfRule type="cellIs" dxfId="257" priority="47" operator="greaterThanOrEqual">
      <formula>1</formula>
    </cfRule>
  </conditionalFormatting>
  <conditionalFormatting sqref="Q22:Q55">
    <cfRule type="containsBlanks" dxfId="256" priority="42" stopIfTrue="1">
      <formula>LEN(TRIM(Q22))=0</formula>
    </cfRule>
  </conditionalFormatting>
  <conditionalFormatting sqref="Q22:Q55">
    <cfRule type="cellIs" dxfId="255" priority="48" operator="lessThan">
      <formula>$J22</formula>
    </cfRule>
    <cfRule type="cellIs" dxfId="254" priority="49" operator="greaterThanOrEqual">
      <formula>$J22</formula>
    </cfRule>
  </conditionalFormatting>
  <conditionalFormatting sqref="Z22:Z57">
    <cfRule type="cellIs" dxfId="253" priority="37" operator="between">
      <formula>1</formula>
      <formula>0.1</formula>
    </cfRule>
    <cfRule type="cellIs" dxfId="252" priority="38" operator="lessThanOrEqual">
      <formula>0.1</formula>
    </cfRule>
    <cfRule type="cellIs" dxfId="251" priority="39" operator="greaterThanOrEqual">
      <formula>1</formula>
    </cfRule>
  </conditionalFormatting>
  <conditionalFormatting sqref="Z22:Z55">
    <cfRule type="containsBlanks" dxfId="250" priority="34" stopIfTrue="1">
      <formula>LEN(TRIM(Z22))=0</formula>
    </cfRule>
  </conditionalFormatting>
  <conditionalFormatting sqref="Z56:Z57">
    <cfRule type="cellIs" dxfId="249" priority="35" operator="greaterThanOrEqual">
      <formula>0.0001</formula>
    </cfRule>
    <cfRule type="cellIs" dxfId="248" priority="36" operator="lessThanOrEqual">
      <formula>0.0001</formula>
    </cfRule>
  </conditionalFormatting>
  <conditionalFormatting sqref="Z22:Z55">
    <cfRule type="cellIs" dxfId="247" priority="40" operator="greaterThanOrEqual">
      <formula>$U22</formula>
    </cfRule>
    <cfRule type="cellIs" dxfId="246" priority="41" operator="lessThan">
      <formula>$U22</formula>
    </cfRule>
  </conditionalFormatting>
  <conditionalFormatting sqref="Z56:Z57">
    <cfRule type="containsBlanks" dxfId="245" priority="31" stopIfTrue="1">
      <formula>LEN(TRIM(Z56))=0</formula>
    </cfRule>
  </conditionalFormatting>
  <conditionalFormatting sqref="Z56:Z57">
    <cfRule type="cellIs" dxfId="244" priority="32" operator="greaterThanOrEqual">
      <formula>$U56</formula>
    </cfRule>
    <cfRule type="cellIs" dxfId="243" priority="33" operator="lessThan">
      <formula>$U56</formula>
    </cfRule>
  </conditionalFormatting>
  <conditionalFormatting sqref="H30:H31">
    <cfRule type="containsBlanks" dxfId="242" priority="21" stopIfTrue="1">
      <formula>LEN(TRIM(H30))=0</formula>
    </cfRule>
    <cfRule type="cellIs" dxfId="241" priority="22" operator="lessThanOrEqual">
      <formula>0.1</formula>
    </cfRule>
    <cfRule type="cellIs" dxfId="240" priority="23" operator="greaterThanOrEqual">
      <formula>1</formula>
    </cfRule>
    <cfRule type="cellIs" dxfId="239" priority="24" operator="between">
      <formula>1</formula>
      <formula>0.01</formula>
    </cfRule>
  </conditionalFormatting>
  <conditionalFormatting sqref="H54:H55">
    <cfRule type="containsBlanks" dxfId="238" priority="17" stopIfTrue="1">
      <formula>LEN(TRIM(H54))=0</formula>
    </cfRule>
    <cfRule type="cellIs" dxfId="237" priority="18" operator="lessThanOrEqual">
      <formula>0.1</formula>
    </cfRule>
    <cfRule type="cellIs" dxfId="236" priority="19" operator="greaterThanOrEqual">
      <formula>1</formula>
    </cfRule>
    <cfRule type="cellIs" dxfId="235" priority="20" operator="between">
      <formula>1</formula>
      <formula>0.01</formula>
    </cfRule>
  </conditionalFormatting>
  <conditionalFormatting sqref="S30:S31">
    <cfRule type="containsBlanks" dxfId="234" priority="13" stopIfTrue="1">
      <formula>LEN(TRIM(S30))=0</formula>
    </cfRule>
    <cfRule type="cellIs" dxfId="233" priority="14" operator="lessThanOrEqual">
      <formula>0.1</formula>
    </cfRule>
    <cfRule type="cellIs" dxfId="232" priority="15" operator="greaterThanOrEqual">
      <formula>1</formula>
    </cfRule>
    <cfRule type="cellIs" dxfId="231" priority="16" operator="between">
      <formula>1</formula>
      <formula>0.01</formula>
    </cfRule>
  </conditionalFormatting>
  <conditionalFormatting sqref="S54:S55">
    <cfRule type="containsBlanks" dxfId="230" priority="9" stopIfTrue="1">
      <formula>LEN(TRIM(S54))=0</formula>
    </cfRule>
    <cfRule type="cellIs" dxfId="229" priority="10" operator="lessThanOrEqual">
      <formula>0.1</formula>
    </cfRule>
    <cfRule type="cellIs" dxfId="228" priority="11" operator="greaterThanOrEqual">
      <formula>1</formula>
    </cfRule>
    <cfRule type="cellIs" dxfId="227" priority="12" operator="between">
      <formula>1</formula>
      <formula>0.01</formula>
    </cfRule>
  </conditionalFormatting>
  <conditionalFormatting sqref="Q56:Q57">
    <cfRule type="containsBlanks" dxfId="226" priority="1" stopIfTrue="1">
      <formula>LEN(TRIM(Q56))=0</formula>
    </cfRule>
  </conditionalFormatting>
  <conditionalFormatting sqref="Q56:Q57">
    <cfRule type="cellIs" dxfId="225" priority="4" operator="between">
      <formula>1</formula>
      <formula>0.1</formula>
    </cfRule>
    <cfRule type="cellIs" dxfId="224" priority="5" operator="lessThanOrEqual">
      <formula>0.1</formula>
    </cfRule>
    <cfRule type="cellIs" dxfId="223" priority="6" operator="greaterThanOrEqual">
      <formula>1</formula>
    </cfRule>
  </conditionalFormatting>
  <conditionalFormatting sqref="Q56:Q57">
    <cfRule type="cellIs" dxfId="222" priority="2" operator="greaterThanOrEqual">
      <formula>0.0001</formula>
    </cfRule>
    <cfRule type="cellIs" dxfId="221" priority="3" operator="lessThanOrEqual">
      <formula>0.0001</formula>
    </cfRule>
  </conditionalFormatting>
  <conditionalFormatting sqref="Q56:Q57">
    <cfRule type="cellIs" dxfId="220" priority="7" operator="lessThan">
      <formula>$J56</formula>
    </cfRule>
    <cfRule type="cellIs" dxfId="219" priority="8" operator="greaterThanOrEqual">
      <formula>$J56</formula>
    </cfRule>
  </conditionalFormatting>
  <dataValidations count="1">
    <dataValidation allowBlank="1" showErrorMessage="1" sqref="J8:J9 H8 H12:H13 U8:U9 S8" xr:uid="{00000000-0002-0000-02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'List Values'!$F$7:$F$8</xm:f>
          </x14:formula1>
          <xm:sqref>K4:L4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17682-E4D0-4B36-B448-CE698D8AC47A}">
  <sheetPr>
    <tabColor rgb="FF0070C0"/>
  </sheetPr>
  <dimension ref="A1:AB87"/>
  <sheetViews>
    <sheetView topLeftCell="F1" zoomScale="80" zoomScaleNormal="80" zoomScaleSheetLayoutView="40" workbookViewId="0">
      <pane ySplit="1" topLeftCell="A2" activePane="bottomLeft" state="frozen"/>
      <selection pane="bottomLeft" activeCell="K4" sqref="K4"/>
    </sheetView>
  </sheetViews>
  <sheetFormatPr defaultColWidth="8.81640625" defaultRowHeight="13" x14ac:dyDescent="0.35"/>
  <cols>
    <col min="1" max="1" width="2.1796875" style="119" customWidth="1"/>
    <col min="2" max="2" width="5.81640625" style="120" hidden="1" customWidth="1"/>
    <col min="3" max="3" width="11.7265625" style="76" customWidth="1"/>
    <col min="4" max="4" width="17.81640625" style="121" customWidth="1"/>
    <col min="5" max="5" width="22.7265625" style="76" customWidth="1"/>
    <col min="6" max="6" width="18.54296875" style="76" customWidth="1"/>
    <col min="7" max="7" width="2.7265625" style="119" customWidth="1"/>
    <col min="8" max="8" width="25" style="119" customWidth="1"/>
    <col min="9" max="9" width="15.81640625" style="119" customWidth="1"/>
    <col min="10" max="10" width="20" style="119" customWidth="1"/>
    <col min="11" max="11" width="16.26953125" style="119" customWidth="1"/>
    <col min="12" max="12" width="15.7265625" style="119" customWidth="1"/>
    <col min="13" max="13" width="14.54296875" style="119" customWidth="1"/>
    <col min="14" max="14" width="13.1796875" style="119" customWidth="1"/>
    <col min="15" max="15" width="16" style="119" customWidth="1"/>
    <col min="16" max="17" width="17.81640625" style="119" customWidth="1"/>
    <col min="18" max="18" width="2.7265625" style="119" customWidth="1"/>
    <col min="19" max="19" width="22.54296875" style="119" customWidth="1"/>
    <col min="20" max="20" width="15.81640625" style="119" customWidth="1"/>
    <col min="21" max="21" width="18.26953125" style="119" customWidth="1"/>
    <col min="22" max="22" width="13" style="119" customWidth="1"/>
    <col min="23" max="23" width="16" style="119" customWidth="1"/>
    <col min="24" max="24" width="16.26953125" style="119" customWidth="1"/>
    <col min="25" max="25" width="13" style="119" customWidth="1"/>
    <col min="26" max="16384" width="8.81640625" style="119"/>
  </cols>
  <sheetData>
    <row r="1" spans="1:26" ht="38.25" customHeight="1" thickBot="1" x14ac:dyDescent="0.4">
      <c r="C1" s="694" t="s">
        <v>227</v>
      </c>
      <c r="D1" s="694"/>
      <c r="E1" s="694"/>
      <c r="F1" s="694"/>
      <c r="G1" s="694"/>
      <c r="H1" s="694"/>
      <c r="I1" s="694"/>
      <c r="J1" s="694"/>
      <c r="K1" s="694"/>
      <c r="L1" s="694"/>
      <c r="M1" s="694"/>
      <c r="N1" s="694"/>
      <c r="O1" s="694"/>
      <c r="P1" s="694"/>
      <c r="Q1" s="694"/>
      <c r="R1" s="694"/>
      <c r="S1" s="694"/>
      <c r="T1" s="694"/>
      <c r="U1" s="694"/>
      <c r="V1" s="694"/>
      <c r="W1" s="694"/>
      <c r="X1" s="694"/>
      <c r="Y1" s="694"/>
      <c r="Z1" s="694"/>
    </row>
    <row r="2" spans="1:26" s="30" customFormat="1" ht="13.5" customHeight="1" thickBot="1" x14ac:dyDescent="0.4">
      <c r="B2" s="31"/>
      <c r="C2" s="73"/>
      <c r="D2" s="73"/>
      <c r="E2" s="73"/>
      <c r="F2" s="73"/>
      <c r="H2" s="122" t="s">
        <v>162</v>
      </c>
      <c r="I2" s="676" t="s">
        <v>14</v>
      </c>
      <c r="J2" s="677"/>
      <c r="K2" s="678"/>
      <c r="L2" s="123"/>
      <c r="N2" s="123"/>
      <c r="S2" s="681" t="s">
        <v>54</v>
      </c>
      <c r="T2" s="678"/>
    </row>
    <row r="3" spans="1:26" s="30" customFormat="1" ht="26.25" customHeight="1" x14ac:dyDescent="0.35">
      <c r="B3" s="31"/>
      <c r="C3" s="73"/>
      <c r="D3" s="73"/>
      <c r="E3" s="73"/>
      <c r="F3" s="73"/>
      <c r="H3" s="124" t="s">
        <v>52</v>
      </c>
      <c r="I3" s="125" t="s">
        <v>163</v>
      </c>
      <c r="J3" s="126" t="s">
        <v>164</v>
      </c>
      <c r="K3" s="127" t="s">
        <v>165</v>
      </c>
      <c r="L3" s="97"/>
      <c r="S3" s="124" t="s">
        <v>166</v>
      </c>
      <c r="T3" s="127" t="s">
        <v>167</v>
      </c>
    </row>
    <row r="4" spans="1:26" s="30" customFormat="1" ht="38.25" customHeight="1" thickBot="1" x14ac:dyDescent="0.4">
      <c r="B4" s="31"/>
      <c r="C4" s="73"/>
      <c r="D4" s="73"/>
      <c r="E4" s="73"/>
      <c r="F4" s="73"/>
      <c r="H4" s="553" t="str">
        <f>Dashboard!C4</f>
        <v>Spot Cleaning, Wipe Cleaning and Carpet Cleaning</v>
      </c>
      <c r="I4" s="128" t="str">
        <f>Dashboard!D4</f>
        <v>Modeled Data</v>
      </c>
      <c r="J4" s="129">
        <f>Dashboard!E4</f>
        <v>0.99</v>
      </c>
      <c r="K4" s="339" t="s">
        <v>88</v>
      </c>
      <c r="L4" s="130"/>
      <c r="S4" s="553" t="str">
        <f>Dashboard!L4</f>
        <v>Average Adult Worker</v>
      </c>
      <c r="T4" s="355">
        <f>Dashboard!M4</f>
        <v>0.99</v>
      </c>
    </row>
    <row r="5" spans="1:26" s="30" customFormat="1" x14ac:dyDescent="0.35">
      <c r="A5" s="131"/>
      <c r="B5" s="31"/>
      <c r="C5" s="73"/>
      <c r="D5" s="73"/>
      <c r="E5" s="73"/>
      <c r="F5" s="73"/>
      <c r="J5" s="73"/>
      <c r="K5" s="73"/>
      <c r="L5" s="73"/>
      <c r="M5" s="132"/>
      <c r="N5" s="132"/>
      <c r="S5" s="76"/>
      <c r="T5" s="73"/>
      <c r="U5" s="133"/>
    </row>
    <row r="6" spans="1:26" s="30" customFormat="1" x14ac:dyDescent="0.35">
      <c r="B6" s="31"/>
      <c r="C6" s="73"/>
      <c r="D6" s="73"/>
      <c r="E6" s="73"/>
      <c r="F6" s="73"/>
      <c r="H6" s="133" t="s">
        <v>65</v>
      </c>
      <c r="I6" s="31"/>
      <c r="J6" s="73"/>
      <c r="K6" s="73"/>
      <c r="L6" s="73"/>
      <c r="M6" s="73"/>
      <c r="N6" s="73"/>
      <c r="S6" s="133" t="s">
        <v>54</v>
      </c>
      <c r="T6" s="119"/>
      <c r="U6" s="119"/>
      <c r="V6" s="76"/>
      <c r="W6" s="73"/>
    </row>
    <row r="7" spans="1:26" ht="13.5" thickBot="1" x14ac:dyDescent="0.4">
      <c r="H7" s="134" t="s">
        <v>66</v>
      </c>
      <c r="I7" s="120"/>
      <c r="M7" s="73"/>
      <c r="N7" s="73"/>
      <c r="S7" s="134" t="s">
        <v>66</v>
      </c>
      <c r="V7" s="76"/>
      <c r="W7" s="73"/>
    </row>
    <row r="8" spans="1:26" ht="52" x14ac:dyDescent="0.35">
      <c r="H8" s="624" t="s">
        <v>67</v>
      </c>
      <c r="I8" s="640" t="s">
        <v>68</v>
      </c>
      <c r="J8" s="555" t="s">
        <v>69</v>
      </c>
      <c r="K8" s="555" t="s">
        <v>70</v>
      </c>
      <c r="L8" s="482" t="s">
        <v>71</v>
      </c>
      <c r="M8" s="555" t="s">
        <v>72</v>
      </c>
      <c r="N8" s="482" t="s">
        <v>73</v>
      </c>
      <c r="O8" s="104" t="s">
        <v>74</v>
      </c>
      <c r="S8" s="624" t="s">
        <v>67</v>
      </c>
      <c r="T8" s="640" t="s">
        <v>68</v>
      </c>
      <c r="U8" s="555" t="s">
        <v>75</v>
      </c>
      <c r="V8" s="555" t="s">
        <v>76</v>
      </c>
      <c r="W8" s="555" t="s">
        <v>77</v>
      </c>
      <c r="X8" s="104" t="s">
        <v>78</v>
      </c>
    </row>
    <row r="9" spans="1:26" ht="30.5" thickBot="1" x14ac:dyDescent="0.4">
      <c r="H9" s="625"/>
      <c r="I9" s="641"/>
      <c r="J9" s="556" t="s">
        <v>79</v>
      </c>
      <c r="K9" s="556" t="s">
        <v>80</v>
      </c>
      <c r="L9" s="483" t="s">
        <v>81</v>
      </c>
      <c r="M9" s="556" t="s">
        <v>82</v>
      </c>
      <c r="N9" s="483" t="s">
        <v>83</v>
      </c>
      <c r="O9" s="197" t="s">
        <v>84</v>
      </c>
      <c r="S9" s="625"/>
      <c r="T9" s="641"/>
      <c r="U9" s="556" t="s">
        <v>85</v>
      </c>
      <c r="V9" s="556" t="s">
        <v>86</v>
      </c>
      <c r="W9" s="556" t="s">
        <v>87</v>
      </c>
      <c r="X9" s="197" t="s">
        <v>87</v>
      </c>
    </row>
    <row r="10" spans="1:26" x14ac:dyDescent="0.35">
      <c r="H10" s="563" t="s">
        <v>88</v>
      </c>
      <c r="I10" s="594" t="s">
        <v>89</v>
      </c>
      <c r="J10" s="333">
        <f>SUMIFS('Inhalation &lt; PEL'!$H:$H,'Inhalation &lt; PEL'!$C:$C,$H$4,'Inhalation &lt; PEL'!$D:$D,$H10,'Inhalation &lt; PEL'!$V:$V,$I$4)</f>
        <v>2.7501686002651389</v>
      </c>
      <c r="K10" s="333">
        <f>SUMIFS('Inhalation &lt; PEL'!$J:$J,'Inhalation &lt; PEL'!$C:$C,$H$4,'Inhalation &lt; PEL'!$D:$D,$H10,'Inhalation &lt; PEL'!$V:$V,$I$4)</f>
        <v>0.91672286675504633</v>
      </c>
      <c r="L10" s="484">
        <f>SUMIFS('Inhalation &lt; PEL'!$L:$L,'Inhalation &lt; PEL'!$C:$C,$H$4,'Inhalation &lt; PEL'!$D:$D,$H10,'Inhalation &lt; PEL'!$V:$V,$I$4)</f>
        <v>2.7501686002651389</v>
      </c>
      <c r="M10" s="333">
        <f>SUMIFS('Inhalation &lt; PEL'!$N:$N,'Inhalation &lt; PEL'!$C:$C,$H$4,'Inhalation &lt; PEL'!$D:$D,$H10,'Inhalation &lt; PEL'!$V:$V,$I$4)</f>
        <v>0.64949719365001934</v>
      </c>
      <c r="N10" s="484">
        <f>SUMIFS('Inhalation &lt; PEL'!$P:$P,'Inhalation &lt; PEL'!$C:$C,$H$4,'Inhalation &lt; PEL'!$D:$D,$H10,'Inhalation &lt; PEL'!$V:$V,$I$4)</f>
        <v>1.948491580950058</v>
      </c>
      <c r="O10" s="334">
        <f>SUMIFS('Inhalation &lt; PEL'!$R:$R,'Inhalation &lt; PEL'!$C:$C,$H$4,'Inhalation &lt; PEL'!$D:$D,$H10,'Inhalation &lt; PEL'!$V:$V,$I$4)</f>
        <v>0.26301095178578932</v>
      </c>
      <c r="S10" s="643" t="s">
        <v>90</v>
      </c>
      <c r="T10" s="141" t="s">
        <v>89</v>
      </c>
      <c r="U10" s="192">
        <f>'Dermal Exposure'!N8</f>
        <v>289.43946348387897</v>
      </c>
      <c r="V10" s="102">
        <f>'Dermal Exposure'!O8</f>
        <v>3.6179932935484871</v>
      </c>
      <c r="W10" s="102">
        <f>'Dermal Exposure'!P8</f>
        <v>2.9043069452320736</v>
      </c>
      <c r="X10" s="155">
        <f>'Dermal Exposure'!Q8</f>
        <v>1.4893881770420889</v>
      </c>
    </row>
    <row r="11" spans="1:26" x14ac:dyDescent="0.35">
      <c r="H11" s="564" t="s">
        <v>91</v>
      </c>
      <c r="I11" s="674"/>
      <c r="J11" s="335">
        <f>SUMIFS('Inhalation &lt; PEL'!$H:$H,'Inhalation &lt; PEL'!$C:$C,$H$4,'Inhalation &lt; PEL'!$D:$D,$H11,'Inhalation &lt; PEL'!$V:$V,$I$4)</f>
        <v>1.7437270257186532</v>
      </c>
      <c r="K11" s="335">
        <f>SUMIFS('Inhalation &lt; PEL'!$J:$J,'Inhalation &lt; PEL'!$C:$C,$H$4,'Inhalation &lt; PEL'!$D:$D,$H11,'Inhalation &lt; PEL'!$V:$V,$I$4)</f>
        <v>0.58124234190621771</v>
      </c>
      <c r="L11" s="485">
        <f>SUMIFS('Inhalation &lt; PEL'!$L:$L,'Inhalation &lt; PEL'!$C:$C,$H$4,'Inhalation &lt; PEL'!$D:$D,$H11,'Inhalation &lt; PEL'!$V:$V,$I$4)</f>
        <v>1.7437270257186532</v>
      </c>
      <c r="M11" s="335">
        <f>SUMIFS('Inhalation &lt; PEL'!$N:$N,'Inhalation &lt; PEL'!$C:$C,$H$4,'Inhalation &lt; PEL'!$D:$D,$H11,'Inhalation &lt; PEL'!$V:$V,$I$4)</f>
        <v>0.41077423537054469</v>
      </c>
      <c r="N11" s="485">
        <f>SUMIFS('Inhalation &lt; PEL'!$P:$P,'Inhalation &lt; PEL'!$C:$C,$H$4,'Inhalation &lt; PEL'!$D:$D,$H11,'Inhalation &lt; PEL'!$V:$V,$I$4)</f>
        <v>1.2323227061116342</v>
      </c>
      <c r="O11" s="336">
        <f>SUMIFS('Inhalation &lt; PEL'!$R:$R,'Inhalation &lt; PEL'!$C:$C,$H$4,'Inhalation &lt; PEL'!$D:$D,$H11,'Inhalation &lt; PEL'!$V:$V,$I$4)</f>
        <v>0.16302580206824938</v>
      </c>
      <c r="S11" s="644"/>
      <c r="T11" s="154" t="s">
        <v>92</v>
      </c>
      <c r="U11" s="103">
        <f>'Dermal Exposure'!N9</f>
        <v>96.479821161292989</v>
      </c>
      <c r="V11" s="103">
        <f>'Dermal Exposure'!O9</f>
        <v>1.2059977645161624</v>
      </c>
      <c r="W11" s="103">
        <f>'Dermal Exposure'!P9</f>
        <v>0.85245869382238326</v>
      </c>
      <c r="X11" s="156">
        <f>'Dermal Exposure'!Q9</f>
        <v>0.33879768600633181</v>
      </c>
    </row>
    <row r="12" spans="1:26" x14ac:dyDescent="0.35">
      <c r="H12" s="564" t="s">
        <v>88</v>
      </c>
      <c r="I12" s="638" t="s">
        <v>92</v>
      </c>
      <c r="J12" s="335">
        <f>SUMIFS('Inhalation &lt; PEL'!$I:$I,'Inhalation &lt; PEL'!$C:$C,$H$4,'Inhalation &lt; PEL'!$D:$D,$H12,'Inhalation &lt; PEL'!$V:$V,$I$4)</f>
        <v>0.96207902477632934</v>
      </c>
      <c r="K12" s="335">
        <f>SUMIFS('Inhalation &lt; PEL'!$K:$K,'Inhalation &lt; PEL'!$C:$C,$H$4,'Inhalation &lt; PEL'!$D:$D,$H12,'Inhalation &lt; PEL'!$V:$V,$I$4)</f>
        <v>0.32069300825877645</v>
      </c>
      <c r="L12" s="485">
        <f>SUMIFS('Inhalation &lt; PEL'!$M:$M,'Inhalation &lt; PEL'!$C:$C,$H$4,'Inhalation &lt; PEL'!$D:$D,$H12,'Inhalation &lt; PEL'!$V:$V,$I$4)</f>
        <v>0.96207902477632934</v>
      </c>
      <c r="M12" s="335">
        <f>SUMIFS('Inhalation &lt; PEL'!$O:$O,'Inhalation &lt; PEL'!$C:$C,$H$4,'Inhalation &lt; PEL'!$D:$D,$H12,'Inhalation &lt; PEL'!$V:$V,$I$4)</f>
        <v>0.22627163919987608</v>
      </c>
      <c r="N12" s="485">
        <f>SUMIFS('Inhalation &lt; PEL'!$Q:$Q,'Inhalation &lt; PEL'!$C:$C,$H$4,'Inhalation &lt; PEL'!$D:$D,$H12,'Inhalation &lt; PEL'!$V:$V,$I$4)</f>
        <v>0.6788149175996282</v>
      </c>
      <c r="O12" s="336">
        <f>SUMIFS('Inhalation &lt; PEL'!$S:$S,'Inhalation &lt; PEL'!$C:$C,$H$4,'Inhalation &lt; PEL'!$D:$D,$H12,'Inhalation &lt; PEL'!$V:$V,$I$4)</f>
        <v>8.4181628744240788E-2</v>
      </c>
      <c r="S12" s="642" t="str">
        <f>_xlfn.CONCAT("Worker with Gloves; PF = 
",'List Values'!F2)</f>
        <v>Worker with Gloves; PF = 
5</v>
      </c>
      <c r="T12" s="154" t="s">
        <v>89</v>
      </c>
      <c r="U12" s="103">
        <f>U10/'List Values'!$F$2</f>
        <v>57.887892696775793</v>
      </c>
      <c r="V12" s="103">
        <f>V10/'List Values'!$F$2</f>
        <v>0.72359865870969742</v>
      </c>
      <c r="W12" s="103">
        <f>W10/'List Values'!$F$2</f>
        <v>0.58086138904641471</v>
      </c>
      <c r="X12" s="156">
        <f>X10/'List Values'!$F$2</f>
        <v>0.29787763540841777</v>
      </c>
    </row>
    <row r="13" spans="1:26" ht="13.5" thickBot="1" x14ac:dyDescent="0.4">
      <c r="H13" s="367" t="s">
        <v>91</v>
      </c>
      <c r="I13" s="639"/>
      <c r="J13" s="337">
        <f>SUMIFS('Inhalation &lt; PEL'!$I:$I,'Inhalation &lt; PEL'!$C:$C,$H$4,'Inhalation &lt; PEL'!$D:$D,$H13,'Inhalation &lt; PEL'!$V:$V,$I$4)</f>
        <v>0.47937392347468338</v>
      </c>
      <c r="K13" s="337">
        <f>SUMIFS('Inhalation &lt; PEL'!$K:$K,'Inhalation &lt; PEL'!$C:$C,$H$4,'Inhalation &lt; PEL'!$D:$D,$H13,'Inhalation &lt; PEL'!$V:$V,$I$4)</f>
        <v>0.15979130782489445</v>
      </c>
      <c r="L13" s="486">
        <f>SUMIFS('Inhalation &lt; PEL'!$M:$M,'Inhalation &lt; PEL'!$C:$C,$H$4,'Inhalation &lt; PEL'!$D:$D,$H13,'Inhalation &lt; PEL'!$V:$V,$I$4)</f>
        <v>0.47937392347468338</v>
      </c>
      <c r="M13" s="337">
        <f>SUMIFS('Inhalation &lt; PEL'!$O:$O,'Inhalation &lt; PEL'!$C:$C,$H$4,'Inhalation &lt; PEL'!$D:$D,$H13,'Inhalation &lt; PEL'!$V:$V,$I$4)</f>
        <v>0.11280556843108118</v>
      </c>
      <c r="N13" s="486">
        <f>SUMIFS('Inhalation &lt; PEL'!$Q:$Q,'Inhalation &lt; PEL'!$C:$C,$H$4,'Inhalation &lt; PEL'!$D:$D,$H13,'Inhalation &lt; PEL'!$V:$V,$I$4)</f>
        <v>0.33841670529324358</v>
      </c>
      <c r="O13" s="338">
        <f>SUMIFS('Inhalation &lt; PEL'!$S:$S,'Inhalation &lt; PEL'!$C:$C,$H$4,'Inhalation &lt; PEL'!$D:$D,$H13,'Inhalation &lt; PEL'!$V:$V,$I$4)</f>
        <v>4.2340613418723437E-2</v>
      </c>
      <c r="S13" s="680"/>
      <c r="T13" s="154" t="s">
        <v>92</v>
      </c>
      <c r="U13" s="103">
        <f>U11/'List Values'!$F$2</f>
        <v>19.295964232258598</v>
      </c>
      <c r="V13" s="103">
        <f>V11/'List Values'!$F$2</f>
        <v>0.24119955290323247</v>
      </c>
      <c r="W13" s="103">
        <f>W11/'List Values'!$F$2</f>
        <v>0.17049173876447665</v>
      </c>
      <c r="X13" s="156">
        <f>X11/'List Values'!$F$2</f>
        <v>6.7759537201266359E-2</v>
      </c>
    </row>
    <row r="14" spans="1:26" x14ac:dyDescent="0.35">
      <c r="S14" s="642" t="str">
        <f>_xlfn.CONCAT("Worker with Gloves; PF = 
",'List Values'!F3)</f>
        <v>Worker with Gloves; PF = 
10</v>
      </c>
      <c r="T14" s="154" t="s">
        <v>89</v>
      </c>
      <c r="U14" s="103">
        <f>U10/'List Values'!$F$3</f>
        <v>28.943946348387897</v>
      </c>
      <c r="V14" s="103">
        <f>V10/'List Values'!$F$3</f>
        <v>0.36179932935484871</v>
      </c>
      <c r="W14" s="103">
        <f>W10/'List Values'!$F$3</f>
        <v>0.29043069452320736</v>
      </c>
      <c r="X14" s="156">
        <f>X10/'List Values'!$F$3</f>
        <v>0.14893881770420889</v>
      </c>
    </row>
    <row r="15" spans="1:26" x14ac:dyDescent="0.35">
      <c r="D15" s="76"/>
      <c r="H15" s="120"/>
      <c r="S15" s="680"/>
      <c r="T15" s="154" t="s">
        <v>92</v>
      </c>
      <c r="U15" s="103">
        <f>U11/'List Values'!$F$3</f>
        <v>9.6479821161292989</v>
      </c>
      <c r="V15" s="103">
        <f>V11/'List Values'!$F$3</f>
        <v>0.12059977645161624</v>
      </c>
      <c r="W15" s="103">
        <f>W11/'List Values'!$F$3</f>
        <v>8.5245869382238326E-2</v>
      </c>
      <c r="X15" s="156">
        <f>X11/'List Values'!$F$3</f>
        <v>3.387976860063318E-2</v>
      </c>
    </row>
    <row r="16" spans="1:26" x14ac:dyDescent="0.35">
      <c r="D16" s="76"/>
      <c r="H16" s="120"/>
      <c r="S16" s="642" t="str">
        <f>_xlfn.CONCAT("Worker with Gloves; PF = 
",'List Values'!F4)</f>
        <v>Worker with Gloves; PF = 
20</v>
      </c>
      <c r="T16" s="154" t="s">
        <v>89</v>
      </c>
      <c r="U16" s="103">
        <f>U10/'List Values'!$F$4</f>
        <v>14.471973174193948</v>
      </c>
      <c r="V16" s="103">
        <f>V10/'List Values'!$F$4</f>
        <v>0.18089966467742435</v>
      </c>
      <c r="W16" s="103">
        <f>W10/'List Values'!$F$4</f>
        <v>0.14521534726160368</v>
      </c>
      <c r="X16" s="156">
        <f>X10/'List Values'!$F$4</f>
        <v>7.4469408852104443E-2</v>
      </c>
    </row>
    <row r="17" spans="2:28" x14ac:dyDescent="0.35">
      <c r="D17" s="76"/>
      <c r="H17" s="120"/>
      <c r="S17" s="680"/>
      <c r="T17" s="154" t="s">
        <v>92</v>
      </c>
      <c r="U17" s="103">
        <f>U11/'List Values'!$F$4</f>
        <v>4.8239910580646495</v>
      </c>
      <c r="V17" s="103">
        <f>V11/'List Values'!$F$4</f>
        <v>6.0299888225808118E-2</v>
      </c>
      <c r="W17" s="103">
        <f>W11/'List Values'!$F$4</f>
        <v>4.2622934691119163E-2</v>
      </c>
      <c r="X17" s="156">
        <f>X11/'List Values'!$F$4</f>
        <v>1.693988430031659E-2</v>
      </c>
    </row>
    <row r="18" spans="2:28" s="30" customFormat="1" x14ac:dyDescent="0.35">
      <c r="B18" s="31"/>
      <c r="C18" s="106"/>
      <c r="D18" s="106"/>
      <c r="E18" s="106"/>
      <c r="F18" s="106"/>
      <c r="G18" s="106"/>
      <c r="H18" s="565"/>
      <c r="I18" s="73"/>
      <c r="K18" s="565"/>
      <c r="L18" s="565"/>
      <c r="M18" s="565"/>
      <c r="N18" s="565"/>
      <c r="O18" s="565"/>
      <c r="P18" s="565"/>
      <c r="Q18" s="565"/>
      <c r="S18" s="106"/>
      <c r="T18" s="565"/>
      <c r="U18" s="73"/>
      <c r="W18" s="565"/>
    </row>
    <row r="19" spans="2:28" s="30" customFormat="1" ht="13.5" thickBot="1" x14ac:dyDescent="0.4">
      <c r="B19" s="31"/>
      <c r="C19" s="73"/>
      <c r="D19" s="75"/>
      <c r="E19" s="75"/>
      <c r="F19" s="75"/>
      <c r="G19" s="135"/>
      <c r="H19" s="135" t="s">
        <v>168</v>
      </c>
      <c r="I19" s="73"/>
      <c r="K19" s="565"/>
      <c r="L19" s="675"/>
      <c r="M19" s="675"/>
      <c r="N19" s="567"/>
      <c r="O19" s="567"/>
      <c r="S19" s="136" t="s">
        <v>169</v>
      </c>
      <c r="T19" s="136"/>
      <c r="U19" s="136"/>
    </row>
    <row r="20" spans="2:28" s="30" customFormat="1" x14ac:dyDescent="0.35">
      <c r="B20" s="31"/>
      <c r="C20" s="672" t="s">
        <v>170</v>
      </c>
      <c r="D20" s="672" t="s">
        <v>171</v>
      </c>
      <c r="E20" s="672"/>
      <c r="F20" s="672" t="s">
        <v>172</v>
      </c>
      <c r="G20" s="108"/>
      <c r="H20" s="682" t="s">
        <v>96</v>
      </c>
      <c r="I20" s="621" t="s">
        <v>68</v>
      </c>
      <c r="J20" s="617" t="s">
        <v>97</v>
      </c>
      <c r="K20" s="617" t="str">
        <f>_xlfn.CONCAT("Exposure Estimates: ",$K$4," MOE")</f>
        <v>Exposure Estimates: Worker MOE</v>
      </c>
      <c r="L20" s="684"/>
      <c r="M20" s="684"/>
      <c r="N20" s="684"/>
      <c r="O20" s="684"/>
      <c r="P20" s="685"/>
      <c r="Q20" s="568" t="s">
        <v>102</v>
      </c>
      <c r="R20" s="137"/>
      <c r="S20" s="626" t="s">
        <v>118</v>
      </c>
      <c r="T20" s="621" t="s">
        <v>68</v>
      </c>
      <c r="U20" s="617" t="s">
        <v>97</v>
      </c>
      <c r="V20" s="617" t="str">
        <f>_xlfn.CONCAT("Exposure Estimates: ",$K$4," MOE")</f>
        <v>Exposure Estimates: Worker MOE</v>
      </c>
      <c r="W20" s="684"/>
      <c r="X20" s="684"/>
      <c r="Y20" s="684"/>
    </row>
    <row r="21" spans="2:28" s="30" customFormat="1" ht="13.5" thickBot="1" x14ac:dyDescent="0.4">
      <c r="B21" s="31"/>
      <c r="C21" s="673"/>
      <c r="D21" s="673"/>
      <c r="E21" s="673"/>
      <c r="F21" s="673"/>
      <c r="G21" s="109"/>
      <c r="H21" s="683"/>
      <c r="I21" s="679"/>
      <c r="J21" s="623"/>
      <c r="K21" s="558" t="s">
        <v>173</v>
      </c>
      <c r="L21" s="558" t="s">
        <v>174</v>
      </c>
      <c r="M21" s="558" t="s">
        <v>175</v>
      </c>
      <c r="N21" s="558" t="s">
        <v>176</v>
      </c>
      <c r="O21" s="558" t="s">
        <v>177</v>
      </c>
      <c r="P21" s="297" t="s">
        <v>178</v>
      </c>
      <c r="Q21" s="558" t="s">
        <v>173</v>
      </c>
      <c r="R21" s="111"/>
      <c r="S21" s="627"/>
      <c r="T21" s="679"/>
      <c r="U21" s="623"/>
      <c r="V21" s="292" t="s">
        <v>151</v>
      </c>
      <c r="W21" s="292" t="s">
        <v>179</v>
      </c>
      <c r="X21" s="292" t="s">
        <v>180</v>
      </c>
      <c r="Y21" s="293" t="s">
        <v>181</v>
      </c>
    </row>
    <row r="22" spans="2:28" s="30" customFormat="1" ht="12.75" customHeight="1" x14ac:dyDescent="0.35">
      <c r="B22" s="659" t="s">
        <v>104</v>
      </c>
      <c r="C22" s="667" t="s">
        <v>182</v>
      </c>
      <c r="D22" s="650" t="s">
        <v>183</v>
      </c>
      <c r="E22" s="665" t="s">
        <v>184</v>
      </c>
      <c r="F22" s="660" t="s">
        <v>185</v>
      </c>
      <c r="G22" s="294"/>
      <c r="H22" s="598">
        <f>IF(AND(ISNUMBER(VLOOKUP(B22,'Health Data'!$F$6:$H$25,2,FALSE)),$J$4=0.5),SUMIFS('Health Data'!$G$6:$G$25,'Health Data'!$F$6:$F$25,'RR &lt;PEL'!B22),IF(ISNUMBER(VLOOKUP(B22,'Health Data'!$F$6:$H$25,3,FALSE)),SUMIFS('Health Data'!$H$6:$H$25,'Health Data'!$F$6:$F$25,'RR &lt;PEL'!B22),SUMIFS('Health Data'!$G$6:$G$25,'Health Data'!$F$6:$F$25,'RR &lt;PEL'!B22)))</f>
        <v>3.7000000000000002E-3</v>
      </c>
      <c r="I22" s="141" t="s">
        <v>89</v>
      </c>
      <c r="J22" s="301">
        <f>VLOOKUP(B22,'Health Data'!$F$6:$K$25,6,FALSE)</f>
        <v>10</v>
      </c>
      <c r="K22" s="69">
        <f>IFERROR($H22/IF($K$4="Worker",$K$10,$K$11), "")</f>
        <v>4.0361161853603696E-3</v>
      </c>
      <c r="L22" s="69">
        <f>IFERROR($H22/(IF($K$4="Worker",$K$10,$K$11)/'List Values'!$D$14), "")</f>
        <v>4.0361161853603701E-2</v>
      </c>
      <c r="M22" s="69">
        <f>IFERROR($H22/(IF($K$4="Worker",$K$10,$K$11)/'List Values'!$D$15), "")</f>
        <v>0.10090290463400924</v>
      </c>
      <c r="N22" s="69">
        <f>IFERROR($H22/(IF($K$4="Worker",$K$10,$K$11)/'List Values'!$D$16), "")</f>
        <v>0.20180580926801847</v>
      </c>
      <c r="O22" s="69">
        <f>IFERROR($H22/(IF($K$4="Worker",$K$10,$K$11)/'List Values'!$D$17), "")</f>
        <v>4.0361161853603695</v>
      </c>
      <c r="P22" s="93">
        <f>IFERROR($H22/(IF($K$4="Worker",$K$10,$K$11)/'List Values'!$D$18), "")</f>
        <v>40.361161853603697</v>
      </c>
      <c r="Q22" s="93">
        <f>IFERROR(H22/$K$11,"")</f>
        <v>6.3656752669904214E-3</v>
      </c>
      <c r="R22" s="137"/>
      <c r="S22" s="598">
        <f>IF(AND(ISNUMBER(VLOOKUP(B22,'Health Data'!$F$6:$J$25,4,FALSE)),$T$4=0.5),SUMIFS('Health Data'!$I$6:$I$25,'Health Data'!$F$6:$F$25,'RR &lt;PEL'!B22),IF(ISNUMBER(VLOOKUP(B22,'Health Data'!$F$6:$J$25,5,FALSE)),SUMIFS('Health Data'!$J$6:$J$25,'Health Data'!$F$6:$F$25,'RR &lt;PEL'!B22),"N/A"))</f>
        <v>5.1999999999999998E-3</v>
      </c>
      <c r="T22" s="141" t="s">
        <v>89</v>
      </c>
      <c r="U22" s="301">
        <f>VLOOKUP(B22,'Health Data'!$F$6:$K$25,6,FALSE)</f>
        <v>10</v>
      </c>
      <c r="V22" s="69">
        <f>IFERROR($S22/V$10, "")</f>
        <v>1.4372608178330531E-3</v>
      </c>
      <c r="W22" s="69">
        <f>IFERROR($S22/V$12, "")</f>
        <v>7.1863040891652656E-3</v>
      </c>
      <c r="X22" s="69">
        <f>IFERROR($S22/V$14, "")</f>
        <v>1.4372608178330531E-2</v>
      </c>
      <c r="Y22" s="93">
        <f>IFERROR($S22/V$16, "")</f>
        <v>2.8745216356661062E-2</v>
      </c>
    </row>
    <row r="23" spans="2:28" s="30" customFormat="1" ht="13.5" customHeight="1" thickBot="1" x14ac:dyDescent="0.4">
      <c r="B23" s="659"/>
      <c r="C23" s="668"/>
      <c r="D23" s="651"/>
      <c r="E23" s="658"/>
      <c r="F23" s="653"/>
      <c r="G23" s="138"/>
      <c r="H23" s="599"/>
      <c r="I23" s="140" t="s">
        <v>106</v>
      </c>
      <c r="J23" s="302">
        <f>VLOOKUP(B22,'Health Data'!$F$6:$K$25,6,FALSE)</f>
        <v>10</v>
      </c>
      <c r="K23" s="87">
        <f>IFERROR($H22/IF($K$4="Worker",$K$12,$K$13), "")</f>
        <v>1.1537513773965297E-2</v>
      </c>
      <c r="L23" s="87">
        <f>IFERROR($H22/(IF($K$4="Worker",$K$12,$K$13)/('List Values'!$D$14)), "")</f>
        <v>0.11537513773965297</v>
      </c>
      <c r="M23" s="87">
        <f>IFERROR($H22/(IF($K$4="Worker",$K$12,$K$13)/'List Values'!$D$15), "")</f>
        <v>0.28843784434913244</v>
      </c>
      <c r="N23" s="87">
        <f>IFERROR($H22/(IF($K$4="Worker",$K$12,$K$13)/'List Values'!$D$16), "")</f>
        <v>0.57687568869826489</v>
      </c>
      <c r="O23" s="87">
        <f>IFERROR($H22/(IF($K$4="Worker",$K$12,$K$13)/'List Values'!$D$17), "")</f>
        <v>11.537513773965298</v>
      </c>
      <c r="P23" s="107">
        <f>IFERROR($H22/(IF($K$4="Worker",$K$12,$K$13)/'List Values'!$D$18), "")</f>
        <v>115.37513773965298</v>
      </c>
      <c r="Q23" s="107">
        <f>IFERROR(H22/$K$13,"")</f>
        <v>2.3155201934103978E-2</v>
      </c>
      <c r="R23" s="111"/>
      <c r="S23" s="599"/>
      <c r="T23" s="140" t="s">
        <v>92</v>
      </c>
      <c r="U23" s="302">
        <f>VLOOKUP(B22,'Health Data'!$F$6:$K$25,6,FALSE)</f>
        <v>10</v>
      </c>
      <c r="V23" s="70">
        <f>IFERROR($S22/V$11, "")</f>
        <v>4.3117824534991593E-3</v>
      </c>
      <c r="W23" s="70">
        <f>IFERROR($S22/V$13, "")</f>
        <v>2.1558912267495796E-2</v>
      </c>
      <c r="X23" s="70">
        <f>IFERROR($S22/V$15, "")</f>
        <v>4.3117824534991592E-2</v>
      </c>
      <c r="Y23" s="174">
        <f>IFERROR($S22/V$17, "")</f>
        <v>8.6235649069983183E-2</v>
      </c>
    </row>
    <row r="24" spans="2:28" s="30" customFormat="1" ht="12.75" customHeight="1" x14ac:dyDescent="0.35">
      <c r="B24" s="659" t="s">
        <v>107</v>
      </c>
      <c r="C24" s="668"/>
      <c r="D24" s="651"/>
      <c r="E24" s="648" t="s">
        <v>186</v>
      </c>
      <c r="F24" s="670" t="s">
        <v>187</v>
      </c>
      <c r="G24" s="138"/>
      <c r="H24" s="598">
        <f>IF(AND(ISNUMBER(VLOOKUP(B24,'Health Data'!$F$6:$H$25,2,FALSE)),$J$4=0.5),SUMIFS('Health Data'!$G$6:$G$25,'Health Data'!$F$6:$F$25,'RR &lt;PEL'!B24),IF(ISNUMBER(VLOOKUP(B24,'Health Data'!$F$6:$H$25,3,FALSE)),SUMIFS('Health Data'!$H$6:$H$25,'Health Data'!$F$6:$F$25,'RR &lt;PEL'!B24),SUMIFS('Health Data'!$G$6:$G$25,'Health Data'!$F$6:$F$25,'RR &lt;PEL'!B24)))</f>
        <v>3</v>
      </c>
      <c r="I24" s="141" t="s">
        <v>89</v>
      </c>
      <c r="J24" s="301">
        <f>VLOOKUP(B24,'Health Data'!$F$6:$K$25,6,FALSE)</f>
        <v>100</v>
      </c>
      <c r="K24" s="69">
        <f>IFERROR($H24/IF($K$4="Worker",$K$10,$K$11), "")</f>
        <v>3.2725266367786783</v>
      </c>
      <c r="L24" s="69">
        <f>IFERROR($H24/(IF($K$4="Worker",$K$10,$K$11)/'List Values'!$D$14), "")</f>
        <v>32.72526636778678</v>
      </c>
      <c r="M24" s="69">
        <f>IFERROR($H24/(IF($K$4="Worker",$K$10,$K$11)/'List Values'!$D$15), "")</f>
        <v>81.81316591946694</v>
      </c>
      <c r="N24" s="69">
        <f>IFERROR($H24/(IF($K$4="Worker",$K$10,$K$11)/'List Values'!$D$16), "")</f>
        <v>163.62633183893388</v>
      </c>
      <c r="O24" s="69">
        <f>IFERROR($H24/(IF($K$4="Worker",$K$10,$K$11)/'List Values'!$D$17), "")</f>
        <v>3272.526636778678</v>
      </c>
      <c r="P24" s="93">
        <f>IFERROR($H24/(IF($K$4="Worker",$K$10,$K$11)/'List Values'!$D$18), "")</f>
        <v>32725.266367786779</v>
      </c>
      <c r="Q24" s="93">
        <f t="shared" ref="Q24" si="0">IFERROR(H24/$K$11,"")</f>
        <v>5.1613583245868275</v>
      </c>
      <c r="R24" s="111"/>
      <c r="S24" s="598">
        <f>IF(AND(ISNUMBER(VLOOKUP(B24,'Health Data'!$F$6:$J$25,4,FALSE)),$T$4=0.5),SUMIFS('Health Data'!$I$6:$I$25,'Health Data'!$F$6:$F$25,'RR &lt;PEL'!B24),IF(ISNUMBER(VLOOKUP(B24,'Health Data'!$F$6:$J$25,5,FALSE)),SUMIFS('Health Data'!$J$6:$J$25,'Health Data'!$F$6:$F$25,'RR &lt;PEL'!B24),"N/A"))</f>
        <v>4.0999999999999996</v>
      </c>
      <c r="T24" s="141" t="s">
        <v>89</v>
      </c>
      <c r="U24" s="301">
        <f>VLOOKUP(B24,'Health Data'!$F$6:$K$25,6,FALSE)</f>
        <v>100</v>
      </c>
      <c r="V24" s="69">
        <f>IFERROR($S24/V$10, "")</f>
        <v>1.1332248755991379</v>
      </c>
      <c r="W24" s="69">
        <f>IFERROR($S24/V$12, "")</f>
        <v>5.6661243779956898</v>
      </c>
      <c r="X24" s="69">
        <f>IFERROR($S24/V$14, "")</f>
        <v>11.33224875599138</v>
      </c>
      <c r="Y24" s="93">
        <f>IFERROR($S24/V$16, "")</f>
        <v>22.664497511982759</v>
      </c>
      <c r="AA24" s="31"/>
      <c r="AB24" s="31"/>
    </row>
    <row r="25" spans="2:28" s="30" customFormat="1" ht="13.5" customHeight="1" thickBot="1" x14ac:dyDescent="0.4">
      <c r="B25" s="659"/>
      <c r="C25" s="668"/>
      <c r="D25" s="651"/>
      <c r="E25" s="648"/>
      <c r="F25" s="670"/>
      <c r="G25" s="138"/>
      <c r="H25" s="599"/>
      <c r="I25" s="140" t="s">
        <v>106</v>
      </c>
      <c r="J25" s="302">
        <f>VLOOKUP(B24,'Health Data'!$F$6:$K$25,6,FALSE)</f>
        <v>100</v>
      </c>
      <c r="K25" s="87">
        <f>IFERROR($H24/IF($K$4="Worker",$K$12,$K$13), "")</f>
        <v>9.3547408978097</v>
      </c>
      <c r="L25" s="87">
        <f>IFERROR($H24/(IF($K$4="Worker",$K$12,$K$13)/('List Values'!$D$14)), "")</f>
        <v>93.547408978096996</v>
      </c>
      <c r="M25" s="87">
        <f>IFERROR($H24/(IF($K$4="Worker",$K$12,$K$13)/'List Values'!$D$15), "")</f>
        <v>233.86852244524249</v>
      </c>
      <c r="N25" s="87">
        <f>IFERROR($H24/(IF($K$4="Worker",$K$12,$K$13)/'List Values'!$D$16), "")</f>
        <v>467.73704489048498</v>
      </c>
      <c r="O25" s="87">
        <f>IFERROR($H24/(IF($K$4="Worker",$K$12,$K$13)/'List Values'!$D$17), "")</f>
        <v>9354.7408978096992</v>
      </c>
      <c r="P25" s="107">
        <f>IFERROR($H24/(IF($K$4="Worker",$K$12,$K$13)/'List Values'!$D$18), "")</f>
        <v>93547.40897809701</v>
      </c>
      <c r="Q25" s="107">
        <f t="shared" ref="Q25" si="1">IFERROR(H24/$K$13,"")</f>
        <v>18.774488054678901</v>
      </c>
      <c r="R25" s="111"/>
      <c r="S25" s="599"/>
      <c r="T25" s="140" t="s">
        <v>92</v>
      </c>
      <c r="U25" s="302">
        <f>VLOOKUP(B24,'Health Data'!$F$6:$K$25,6,FALSE)</f>
        <v>100</v>
      </c>
      <c r="V25" s="70">
        <f>IFERROR($S24/V$11, "")</f>
        <v>3.3996746267974136</v>
      </c>
      <c r="W25" s="70">
        <f>IFERROR($S24/V$13, "")</f>
        <v>16.998373133987069</v>
      </c>
      <c r="X25" s="70">
        <f>IFERROR($S24/V$15, "")</f>
        <v>33.996746267974139</v>
      </c>
      <c r="Y25" s="174">
        <f>IFERROR($S24/V$17, "")</f>
        <v>67.993492535948278</v>
      </c>
      <c r="AA25" s="31"/>
      <c r="AB25" s="31"/>
    </row>
    <row r="26" spans="2:28" s="30" customFormat="1" ht="17.25" customHeight="1" x14ac:dyDescent="0.35">
      <c r="B26" s="659" t="s">
        <v>109</v>
      </c>
      <c r="C26" s="668"/>
      <c r="D26" s="651"/>
      <c r="E26" s="648" t="s">
        <v>188</v>
      </c>
      <c r="F26" s="670" t="s">
        <v>189</v>
      </c>
      <c r="G26" s="138"/>
      <c r="H26" s="598">
        <f>IF(AND(ISNUMBER(VLOOKUP(B26,'Health Data'!$F$6:$H$25,2,FALSE)),$J$4=0.5),SUMIFS('Health Data'!$G$6:$G$25,'Health Data'!$F$6:$F$25,'RR &lt;PEL'!B26),IF(ISNUMBER(VLOOKUP(B26,'Health Data'!$F$6:$H$25,3,FALSE)),SUMIFS('Health Data'!$H$6:$H$25,'Health Data'!$F$6:$F$25,'RR &lt;PEL'!B26),SUMIFS('Health Data'!$G$6:$G$25,'Health Data'!$F$6:$F$25,'RR &lt;PEL'!B26)))</f>
        <v>23</v>
      </c>
      <c r="I26" s="141" t="s">
        <v>89</v>
      </c>
      <c r="J26" s="301">
        <f>VLOOKUP(B26,'Health Data'!$F$6:$K$25,6,FALSE)</f>
        <v>10</v>
      </c>
      <c r="K26" s="69">
        <f>IFERROR($H26/IF($K$4="Worker",$K$10,$K$11), "")</f>
        <v>25.089370881969867</v>
      </c>
      <c r="L26" s="69">
        <f>IFERROR($H26/(IF($K$4="Worker",$K$10,$K$11)/'List Values'!$D$14), "")</f>
        <v>250.89370881969867</v>
      </c>
      <c r="M26" s="69">
        <f>IFERROR($H26/(IF($K$4="Worker",$K$10,$K$11)/'List Values'!$D$15), "")</f>
        <v>627.23427204924656</v>
      </c>
      <c r="N26" s="69">
        <f>IFERROR($H26/(IF($K$4="Worker",$K$10,$K$11)/'List Values'!$D$16), "")</f>
        <v>1254.4685440984931</v>
      </c>
      <c r="O26" s="69">
        <f>IFERROR($H26/(IF($K$4="Worker",$K$10,$K$11)/'List Values'!$D$17), "")</f>
        <v>25089.370881969866</v>
      </c>
      <c r="P26" s="93">
        <f>IFERROR($H26/(IF($K$4="Worker",$K$10,$K$11)/'List Values'!$D$18), "")</f>
        <v>250893.70881969863</v>
      </c>
      <c r="Q26" s="93">
        <f t="shared" ref="Q26" si="2">IFERROR(H26/$K$11,"")</f>
        <v>39.570413821832346</v>
      </c>
      <c r="R26" s="111"/>
      <c r="S26" s="598">
        <f>IF(AND(ISNUMBER(VLOOKUP(B26,'Health Data'!$F$6:$J$25,4,FALSE)),$T$4=0.5),SUMIFS('Health Data'!$I$6:$I$25,'Health Data'!$F$6:$F$25,'RR &lt;PEL'!B26),IF(ISNUMBER(VLOOKUP(B26,'Health Data'!$F$6:$J$25,5,FALSE)),SUMIFS('Health Data'!$J$6:$J$25,'Health Data'!$F$6:$F$25,'RR &lt;PEL'!B26),"N/A"))</f>
        <v>28</v>
      </c>
      <c r="T26" s="141" t="s">
        <v>89</v>
      </c>
      <c r="U26" s="301">
        <f>VLOOKUP(B26,'Health Data'!$F$6:$K$25,6,FALSE)</f>
        <v>10</v>
      </c>
      <c r="V26" s="69">
        <f>IFERROR($S26/V$10, "")</f>
        <v>7.7390967114087479</v>
      </c>
      <c r="W26" s="69">
        <f>IFERROR($S26/V$12, "")</f>
        <v>38.695483557043737</v>
      </c>
      <c r="X26" s="69">
        <f>IFERROR($S26/V$14, "")</f>
        <v>77.390967114087474</v>
      </c>
      <c r="Y26" s="93">
        <f>IFERROR($S26/V$16, "")</f>
        <v>154.78193422817495</v>
      </c>
    </row>
    <row r="27" spans="2:28" s="30" customFormat="1" ht="15.75" customHeight="1" thickBot="1" x14ac:dyDescent="0.4">
      <c r="B27" s="659"/>
      <c r="C27" s="668"/>
      <c r="D27" s="651"/>
      <c r="E27" s="648"/>
      <c r="F27" s="670"/>
      <c r="G27" s="138"/>
      <c r="H27" s="599"/>
      <c r="I27" s="140" t="s">
        <v>106</v>
      </c>
      <c r="J27" s="302">
        <f>VLOOKUP(B26,'Health Data'!$F$6:$K$25,6,FALSE)</f>
        <v>10</v>
      </c>
      <c r="K27" s="87">
        <f>IFERROR($H26/IF($K$4="Worker",$K$12,$K$13), "")</f>
        <v>71.719680216541036</v>
      </c>
      <c r="L27" s="87">
        <f>IFERROR($H26/(IF($K$4="Worker",$K$12,$K$13)/('List Values'!$D$14)), "")</f>
        <v>717.1968021654103</v>
      </c>
      <c r="M27" s="87">
        <f>IFERROR($H26/(IF($K$4="Worker",$K$12,$K$13)/'List Values'!$D$15), "")</f>
        <v>1792.9920054135259</v>
      </c>
      <c r="N27" s="87">
        <f>IFERROR($H26/(IF($K$4="Worker",$K$12,$K$13)/'List Values'!$D$16), "")</f>
        <v>3585.9840108270519</v>
      </c>
      <c r="O27" s="87">
        <f>IFERROR($H26/(IF($K$4="Worker",$K$12,$K$13)/'List Values'!$D$17), "")</f>
        <v>71719.680216541034</v>
      </c>
      <c r="P27" s="107">
        <f>IFERROR($H26/(IF($K$4="Worker",$K$12,$K$13)/'List Values'!$D$18), "")</f>
        <v>717196.80216541036</v>
      </c>
      <c r="Q27" s="107">
        <f t="shared" ref="Q27" si="3">IFERROR(H26/$K$13,"")</f>
        <v>143.93774175253824</v>
      </c>
      <c r="R27" s="111"/>
      <c r="S27" s="599"/>
      <c r="T27" s="140" t="s">
        <v>92</v>
      </c>
      <c r="U27" s="302">
        <f>VLOOKUP(B26,'Health Data'!$F$6:$K$25,6,FALSE)</f>
        <v>10</v>
      </c>
      <c r="V27" s="70">
        <f>IFERROR($S26/V$11, "")</f>
        <v>23.217290134226243</v>
      </c>
      <c r="W27" s="70">
        <f>IFERROR($S26/V$13, "")</f>
        <v>116.08645067113122</v>
      </c>
      <c r="X27" s="70">
        <f>IFERROR($S26/V$15, "")</f>
        <v>232.17290134226243</v>
      </c>
      <c r="Y27" s="174">
        <f>IFERROR($S26/V$17, "")</f>
        <v>464.34580268452487</v>
      </c>
    </row>
    <row r="28" spans="2:28" s="30" customFormat="1" ht="14.25" customHeight="1" x14ac:dyDescent="0.35">
      <c r="B28" s="659" t="s">
        <v>111</v>
      </c>
      <c r="C28" s="668"/>
      <c r="D28" s="651" t="s">
        <v>190</v>
      </c>
      <c r="E28" s="648" t="s">
        <v>191</v>
      </c>
      <c r="F28" s="670" t="s">
        <v>192</v>
      </c>
      <c r="G28" s="138"/>
      <c r="H28" s="598">
        <f>IF(AND(ISNUMBER(VLOOKUP(B28,'Health Data'!$F$6:$H$25,2,FALSE)),$J$4=0.5),SUMIFS('Health Data'!$G$6:$G$25,'Health Data'!$F$6:$F$25,'RR &lt;PEL'!B28),IF(ISNUMBER(VLOOKUP(B28,'Health Data'!$F$6:$H$25,3,FALSE)),SUMIFS('Health Data'!$H$6:$H$25,'Health Data'!$F$6:$F$25,'RR &lt;PEL'!B28),SUMIFS('Health Data'!$G$6:$G$25,'Health Data'!$F$6:$F$25,'RR &lt;PEL'!B28)))</f>
        <v>0.97299999999999998</v>
      </c>
      <c r="I28" s="141" t="s">
        <v>89</v>
      </c>
      <c r="J28" s="301">
        <f>VLOOKUP(B28,'Health Data'!$F$6:$K$25,6,FALSE)</f>
        <v>10</v>
      </c>
      <c r="K28" s="69">
        <f>IFERROR($H28/IF($K$4="Worker",$K$10,$K$11), "")</f>
        <v>1.0613894725285513</v>
      </c>
      <c r="L28" s="69">
        <f>IFERROR($H28/(IF($K$4="Worker",$K$10,$K$11)/'List Values'!$D$14), "")</f>
        <v>10.613894725285512</v>
      </c>
      <c r="M28" s="69">
        <f>IFERROR($H28/(IF($K$4="Worker",$K$10,$K$11)/'List Values'!$D$15), "")</f>
        <v>26.53473681321378</v>
      </c>
      <c r="N28" s="69">
        <f>IFERROR($H28/(IF($K$4="Worker",$K$10,$K$11)/'List Values'!$D$16), "")</f>
        <v>53.069473626427559</v>
      </c>
      <c r="O28" s="69">
        <f>IFERROR($H28/(IF($K$4="Worker",$K$10,$K$11)/'List Values'!$D$17), "")</f>
        <v>1061.3894725285513</v>
      </c>
      <c r="P28" s="93">
        <f>IFERROR($H28/(IF($K$4="Worker",$K$10,$K$11)/'List Values'!$D$18), "")</f>
        <v>10613.894725285512</v>
      </c>
      <c r="Q28" s="93">
        <f t="shared" ref="Q28" si="4">IFERROR(H28/$K$11,"")</f>
        <v>1.6740005499409945</v>
      </c>
      <c r="R28" s="111"/>
      <c r="S28" s="598">
        <f>IF(AND(ISNUMBER(VLOOKUP(B28,'Health Data'!$F$6:$J$25,4,FALSE)),$T$4=0.5),SUMIFS('Health Data'!$I$6:$I$25,'Health Data'!$F$6:$F$25,'RR &lt;PEL'!B28),IF(ISNUMBER(VLOOKUP(B28,'Health Data'!$F$6:$J$25,5,FALSE)),SUMIFS('Health Data'!$J$6:$J$25,'Health Data'!$F$6:$F$25,'RR &lt;PEL'!B28),"N/A"))</f>
        <v>1.34</v>
      </c>
      <c r="T28" s="141" t="s">
        <v>89</v>
      </c>
      <c r="U28" s="301">
        <f>VLOOKUP(B28,'Health Data'!$F$6:$K$25,6,FALSE)</f>
        <v>10</v>
      </c>
      <c r="V28" s="69">
        <f>IFERROR($S28/V$10, "")</f>
        <v>0.37037105690313293</v>
      </c>
      <c r="W28" s="69">
        <f>IFERROR($S28/V$12, "")</f>
        <v>1.8518552845156646</v>
      </c>
      <c r="X28" s="69">
        <f>IFERROR($S28/V$14, "")</f>
        <v>3.7037105690313292</v>
      </c>
      <c r="Y28" s="93">
        <f>IFERROR($S28/V$16, "")</f>
        <v>7.4074211380626584</v>
      </c>
    </row>
    <row r="29" spans="2:28" s="30" customFormat="1" ht="13.5" customHeight="1" thickBot="1" x14ac:dyDescent="0.4">
      <c r="B29" s="659"/>
      <c r="C29" s="669"/>
      <c r="D29" s="652"/>
      <c r="E29" s="649"/>
      <c r="F29" s="670"/>
      <c r="G29" s="138"/>
      <c r="H29" s="599"/>
      <c r="I29" s="284" t="s">
        <v>106</v>
      </c>
      <c r="J29" s="302">
        <f>VLOOKUP(B28,'Health Data'!$F$6:$K$25,6,FALSE)</f>
        <v>10</v>
      </c>
      <c r="K29" s="87">
        <f>IFERROR($H28/IF($K$4="Worker",$K$12,$K$13), "")</f>
        <v>3.0340542978562794</v>
      </c>
      <c r="L29" s="87">
        <f>IFERROR($H28/(IF($K$4="Worker",$K$12,$K$13)/('List Values'!$D$14)), "")</f>
        <v>30.340542978562791</v>
      </c>
      <c r="M29" s="87">
        <f>IFERROR($H28/(IF($K$4="Worker",$K$12,$K$13)/'List Values'!$D$15), "")</f>
        <v>75.851357446406979</v>
      </c>
      <c r="N29" s="87">
        <f>IFERROR($H28/(IF($K$4="Worker",$K$12,$K$13)/'List Values'!$D$16), "")</f>
        <v>151.70271489281396</v>
      </c>
      <c r="O29" s="87">
        <f>IFERROR($H28/(IF($K$4="Worker",$K$12,$K$13)/'List Values'!$D$17), "")</f>
        <v>3034.0542978562794</v>
      </c>
      <c r="P29" s="107">
        <f>IFERROR($H28/(IF($K$4="Worker",$K$12,$K$13)/'List Values'!$D$18), "")</f>
        <v>30340.542978562797</v>
      </c>
      <c r="Q29" s="107">
        <f t="shared" ref="Q29" si="5">IFERROR(H28/$K$13,"")</f>
        <v>6.0891922924008561</v>
      </c>
      <c r="R29" s="111"/>
      <c r="S29" s="599"/>
      <c r="T29" s="284" t="s">
        <v>92</v>
      </c>
      <c r="U29" s="302">
        <f>VLOOKUP(B28,'Health Data'!$F$6:$K$25,6,FALSE)</f>
        <v>10</v>
      </c>
      <c r="V29" s="287">
        <f>IFERROR($S28/V$11, "")</f>
        <v>1.1111131707093989</v>
      </c>
      <c r="W29" s="287">
        <f>IFERROR($S28/V$13, "")</f>
        <v>5.5555658535469945</v>
      </c>
      <c r="X29" s="287">
        <f>IFERROR($S28/V$15, "")</f>
        <v>11.111131707093989</v>
      </c>
      <c r="Y29" s="288">
        <f>IFERROR($S28/V$17, "")</f>
        <v>22.222263414187978</v>
      </c>
    </row>
    <row r="30" spans="2:28" s="30" customFormat="1" ht="13.5" customHeight="1" thickBot="1" x14ac:dyDescent="0.4">
      <c r="B30" s="659" t="s">
        <v>113</v>
      </c>
      <c r="C30" s="569"/>
      <c r="D30" s="478"/>
      <c r="E30" s="654" t="s">
        <v>193</v>
      </c>
      <c r="F30" s="695" t="s">
        <v>192</v>
      </c>
      <c r="G30" s="138"/>
      <c r="H30" s="610">
        <f>IF(AND(ISNUMBER(FIND("12",H4)),$J$4=0.5),'Health Data'!$G$11,IF(AND(ISNUMBER(FIND("12",H4)),$J$4=0.99),'Health Data'!$H$11,IF(AND(ISERROR(FIND("12",H4)),$J$4=0.5),'Health Data'!$G$10,IF(AND(ISERROR(FIND("12",H4)),$J$4=0.99),'Health Data'!$H$10))))</f>
        <v>2.34</v>
      </c>
      <c r="I30" s="487" t="s">
        <v>89</v>
      </c>
      <c r="J30" s="488">
        <f>'Health Data'!K10</f>
        <v>10</v>
      </c>
      <c r="K30" s="69">
        <f>IFERROR($H30/IF($K$4="Worker",$L$10,$L$11), "")</f>
        <v>0.85085692556245629</v>
      </c>
      <c r="L30" s="69">
        <f>IFERROR($H30/(IF($K$4="Worker",$L$10,$L$11)/'List Values'!$D$14), "")</f>
        <v>8.5085692556245629</v>
      </c>
      <c r="M30" s="69">
        <f>IFERROR($H30/(IF($K$4="Worker",$L$10,$L$11)/'List Values'!$D$15), "")</f>
        <v>21.271423139061405</v>
      </c>
      <c r="N30" s="69">
        <f>IFERROR($H30/(IF($K$4="Worker",$L$10,$L$11)/'List Values'!$D$16), "")</f>
        <v>42.542846278122809</v>
      </c>
      <c r="O30" s="69">
        <f>IFERROR($H30/(IF($K$4="Worker",$L$10,$L$11)/'List Values'!$D$17), "")</f>
        <v>850.85692556245635</v>
      </c>
      <c r="P30" s="93">
        <f>IFERROR($H30/(IF($K$4="Worker",$L$10,$L$11)/'List Values'!$D$18), "")</f>
        <v>8508.5692556245631</v>
      </c>
      <c r="Q30" s="93">
        <f>IFERROR(H30/$L$11,"")</f>
        <v>1.3419531643925751</v>
      </c>
      <c r="R30" s="111"/>
      <c r="S30" s="610">
        <f>IF(AND(ISNUMBER(FIND("12",H4)),$T$4=0.5),'Health Data'!I11,IF(AND(ISNUMBER(FIND("12",H4)),$T$4=0.99),'Health Data'!J11,IF(AND(ISERROR(FIND("12",H4)),$T$4=0.5),'Health Data'!I10,IF(AND(ISERROR(FIND("12",H4)),$T$4=0.99),'Health Data'!J10))))</f>
        <v>1.34</v>
      </c>
      <c r="T30" s="487" t="s">
        <v>89</v>
      </c>
      <c r="U30" s="488">
        <f>'Health Data'!K11</f>
        <v>10</v>
      </c>
      <c r="V30" s="69">
        <f>IFERROR($S30/V$10, "")</f>
        <v>0.37037105690313293</v>
      </c>
      <c r="W30" s="69">
        <f>IFERROR($S30/V$12, "")</f>
        <v>1.8518552845156646</v>
      </c>
      <c r="X30" s="69">
        <f>IFERROR($S30/V$14, "")</f>
        <v>3.7037105690313292</v>
      </c>
      <c r="Y30" s="93">
        <f>IFERROR($S30/V$16, "")</f>
        <v>7.4074211380626584</v>
      </c>
    </row>
    <row r="31" spans="2:28" s="30" customFormat="1" ht="13.5" customHeight="1" thickBot="1" x14ac:dyDescent="0.4">
      <c r="B31" s="659"/>
      <c r="C31" s="569"/>
      <c r="D31" s="478"/>
      <c r="E31" s="655"/>
      <c r="F31" s="696"/>
      <c r="G31" s="138"/>
      <c r="H31" s="611"/>
      <c r="I31" s="489" t="s">
        <v>106</v>
      </c>
      <c r="J31" s="488">
        <f>'Health Data'!K11</f>
        <v>10</v>
      </c>
      <c r="K31" s="87">
        <f>IFERROR($H30/IF($K$4="Worker",$L$12,$L$13), "")</f>
        <v>2.4322326334305218</v>
      </c>
      <c r="L31" s="87">
        <f>IFERROR($H30/(IF($K$4="Worker",$L$12,$L$13)/('List Values'!$D$14)), "")</f>
        <v>24.32232633430522</v>
      </c>
      <c r="M31" s="87">
        <f>IFERROR($H30/(IF($K$4="Worker",$L$12,$L$13)/'List Values'!$D$15), "")</f>
        <v>60.805815835763049</v>
      </c>
      <c r="N31" s="87">
        <f>IFERROR($H30/(IF($K$4="Worker",$L$12,$L$13)/'List Values'!$D$16), "")</f>
        <v>121.6116316715261</v>
      </c>
      <c r="O31" s="87">
        <f>IFERROR($H30/(IF($K$4="Worker",$L$12,$L$13)/'List Values'!$D$17), "")</f>
        <v>2432.2326334305221</v>
      </c>
      <c r="P31" s="107">
        <f>IFERROR($H30/(IF($K$4="Worker",$L$12,$L$13)/'List Values'!$D$18), "")</f>
        <v>24322.32633430522</v>
      </c>
      <c r="Q31" s="107">
        <f>IFERROR(H30/$L$13,"")</f>
        <v>4.8813668942165132</v>
      </c>
      <c r="R31" s="111"/>
      <c r="S31" s="611"/>
      <c r="T31" s="489" t="s">
        <v>106</v>
      </c>
      <c r="U31" s="490">
        <f>'Health Data'!K11</f>
        <v>10</v>
      </c>
      <c r="V31" s="287">
        <f>IFERROR($S30/V$11, "")</f>
        <v>1.1111131707093989</v>
      </c>
      <c r="W31" s="287">
        <f>IFERROR($S30/V$13, "")</f>
        <v>5.5555658535469945</v>
      </c>
      <c r="X31" s="287">
        <f>IFERROR($S30/V$15, "")</f>
        <v>11.111131707093989</v>
      </c>
      <c r="Y31" s="288">
        <f>IFERROR($S30/V$17, "")</f>
        <v>22.222263414187978</v>
      </c>
    </row>
    <row r="32" spans="2:28" s="30" customFormat="1" ht="12.75" customHeight="1" x14ac:dyDescent="0.35">
      <c r="B32" s="659" t="s">
        <v>119</v>
      </c>
      <c r="C32" s="692" t="s">
        <v>194</v>
      </c>
      <c r="D32" s="650" t="s">
        <v>195</v>
      </c>
      <c r="E32" s="665" t="s">
        <v>196</v>
      </c>
      <c r="F32" s="660" t="s">
        <v>197</v>
      </c>
      <c r="G32" s="289"/>
      <c r="H32" s="598">
        <f>IF(AND(ISNUMBER(VLOOKUP(B32,'Health Data'!$F$6:$H$25,2,FALSE)),$J$4=0.5),SUMIFS('Health Data'!$G$6:$G$25,'Health Data'!$F$6:$F$25,'RR &lt;PEL'!B32),IF(ISNUMBER(VLOOKUP(B32,'Health Data'!$F$6:$H$25,3,FALSE)),SUMIFS('Health Data'!$H$6:$H$25,'Health Data'!$F$6:$F$25,'RR &lt;PEL'!B32),SUMIFS('Health Data'!$G$6:$G$25,'Health Data'!$F$6:$F$25,'RR &lt;PEL'!B32)))</f>
        <v>9.1</v>
      </c>
      <c r="I32" s="141" t="s">
        <v>89</v>
      </c>
      <c r="J32" s="301">
        <f>VLOOKUP(B32,'Health Data'!$F$6:$K$25,6,FALSE)</f>
        <v>10</v>
      </c>
      <c r="K32" s="69">
        <f>IFERROR($H32/IF($K$4="Worker",$M$10,$M$11), "")</f>
        <v>14.010838058991709</v>
      </c>
      <c r="L32" s="69">
        <f>IFERROR($H32/(IF($K$4="Worker",$M$10,$M$11)/'List Values'!$D$14), "")</f>
        <v>140.10838058991709</v>
      </c>
      <c r="M32" s="69">
        <f>IFERROR($H32/(IF($K$4="Worker",$M$10,$M$11)/'List Values'!$D$15), "")</f>
        <v>350.2709514747927</v>
      </c>
      <c r="N32" s="69">
        <f>IFERROR($H32/(IF($K$4="Worker",$M$10,$M$11)/'List Values'!$D$16), "")</f>
        <v>700.54190294958539</v>
      </c>
      <c r="O32" s="69">
        <f>IFERROR($H32/(IF($K$4="Worker",$M$10,$M$11)/'List Values'!$D$17), "")</f>
        <v>14010.838058991709</v>
      </c>
      <c r="P32" s="93">
        <f>IFERROR($H32/(IF($K$4="Worker",$M$10,$M$11)/'List Values'!$D$18), "")</f>
        <v>140108.3805899171</v>
      </c>
      <c r="Q32" s="93">
        <f>IFERROR(H32/$M$11,"")</f>
        <v>22.153288148150811</v>
      </c>
      <c r="R32" s="137"/>
      <c r="S32" s="598">
        <f>IF(AND(ISNUMBER(VLOOKUP(B32,'Health Data'!$F$6:$J$25,4,FALSE)),$T$4=0.5),SUMIFS('Health Data'!$I$6:$I$25,'Health Data'!$F$6:$F$25,'RR &lt;PEL'!B32),IF(ISNUMBER(VLOOKUP(B32,'Health Data'!$F$6:$J$25,5,FALSE)),SUMIFS('Health Data'!$J$6:$J$25,'Health Data'!$F$6:$F$25,'RR &lt;PEL'!B32),"N/A"))</f>
        <v>7.9</v>
      </c>
      <c r="T32" s="141" t="s">
        <v>89</v>
      </c>
      <c r="U32" s="301">
        <f>VLOOKUP(B32,'Health Data'!$F$6:$K$25,6,FALSE)</f>
        <v>10</v>
      </c>
      <c r="V32" s="69">
        <f>IFERROR($S32/W$10, "")</f>
        <v>2.7200981676434814</v>
      </c>
      <c r="W32" s="69">
        <f>IFERROR($S32/W$12, "")</f>
        <v>13.600490838217407</v>
      </c>
      <c r="X32" s="69">
        <f>IFERROR($S32/W$14, "")</f>
        <v>27.200981676434814</v>
      </c>
      <c r="Y32" s="93">
        <f>IFERROR($S32/W$16, "")</f>
        <v>54.401963352869629</v>
      </c>
    </row>
    <row r="33" spans="1:28" s="30" customFormat="1" ht="13.5" customHeight="1" thickBot="1" x14ac:dyDescent="0.4">
      <c r="B33" s="659"/>
      <c r="C33" s="693"/>
      <c r="D33" s="651"/>
      <c r="E33" s="658"/>
      <c r="F33" s="653"/>
      <c r="G33" s="142"/>
      <c r="H33" s="599"/>
      <c r="I33" s="140" t="s">
        <v>106</v>
      </c>
      <c r="J33" s="302">
        <f>VLOOKUP(B32,'Health Data'!$F$6:$K$25,6,FALSE)</f>
        <v>10</v>
      </c>
      <c r="K33" s="87">
        <f>IFERROR($H32/IF($K$4="Worker",$M$12,$M$13), "")</f>
        <v>40.217147991585257</v>
      </c>
      <c r="L33" s="87">
        <f>IFERROR($H32/(IF($K$4="Worker",$M$12,$M$13)/('List Values'!$D$14)), "")</f>
        <v>402.1714799158525</v>
      </c>
      <c r="M33" s="87">
        <f>IFERROR($H32/(IF($K$4="Worker",$M$12,$M$13)/'List Values'!$D$15), "")</f>
        <v>1005.4286997896313</v>
      </c>
      <c r="N33" s="87">
        <f>IFERROR($H32/(IF($K$4="Worker",$M$12,$M$13)/'List Values'!$D$16), "")</f>
        <v>2010.8573995792626</v>
      </c>
      <c r="O33" s="87">
        <f>IFERROR($H32/(IF($K$4="Worker",$M$12,$M$13)/'List Values'!$D$17), "")</f>
        <v>40217.147991585254</v>
      </c>
      <c r="P33" s="107">
        <f>IFERROR($H32/(IF($K$4="Worker",$M$12,$M$13)/'List Values'!$D$18), "")</f>
        <v>402171.47991585254</v>
      </c>
      <c r="Q33" s="107">
        <f>IFERROR(H32/$M$13,"")</f>
        <v>80.669776559476006</v>
      </c>
      <c r="R33" s="111"/>
      <c r="S33" s="599"/>
      <c r="T33" s="140" t="s">
        <v>92</v>
      </c>
      <c r="U33" s="302">
        <f>VLOOKUP(B32,'Health Data'!$F$6:$K$25,6,FALSE)</f>
        <v>10</v>
      </c>
      <c r="V33" s="70">
        <f>IFERROR($S32/W$11, "")</f>
        <v>9.2673111990644212</v>
      </c>
      <c r="W33" s="70">
        <f>IFERROR($S32/W$13, "")</f>
        <v>46.336555995322101</v>
      </c>
      <c r="X33" s="70">
        <f>IFERROR($S32/W$15, "")</f>
        <v>92.673111990644202</v>
      </c>
      <c r="Y33" s="174">
        <f>IFERROR($S32/W$17, "")</f>
        <v>185.3462239812884</v>
      </c>
    </row>
    <row r="34" spans="1:28" s="30" customFormat="1" ht="12.75" customHeight="1" x14ac:dyDescent="0.35">
      <c r="B34" s="659" t="s">
        <v>121</v>
      </c>
      <c r="C34" s="693"/>
      <c r="D34" s="651" t="s">
        <v>198</v>
      </c>
      <c r="E34" s="658" t="s">
        <v>199</v>
      </c>
      <c r="F34" s="653" t="s">
        <v>200</v>
      </c>
      <c r="G34" s="138"/>
      <c r="H34" s="598">
        <f>IF(AND(ISNUMBER(VLOOKUP(B34,'Health Data'!$F$6:$H$25,2,FALSE)),$J$4=0.5),SUMIFS('Health Data'!$G$6:$G$25,'Health Data'!$F$6:$F$25,'RR &lt;PEL'!B34),IF(ISNUMBER(VLOOKUP(B34,'Health Data'!$F$6:$H$25,3,FALSE)),SUMIFS('Health Data'!$H$6:$H$25,'Health Data'!$F$6:$F$25,'RR &lt;PEL'!B34),SUMIFS('Health Data'!$G$6:$G$25,'Health Data'!$F$6:$F$25,'RR &lt;PEL'!B34)))</f>
        <v>2.5000000000000001E-2</v>
      </c>
      <c r="I34" s="141" t="s">
        <v>89</v>
      </c>
      <c r="J34" s="301">
        <f>VLOOKUP(B34,'Health Data'!$F$6:$K$25,6,FALSE)</f>
        <v>10</v>
      </c>
      <c r="K34" s="69">
        <f>IFERROR($H34/IF($K$4="Worker",$M$10,$M$11), "")</f>
        <v>3.8491313348878328E-2</v>
      </c>
      <c r="L34" s="69">
        <f>IFERROR($H34/(IF($K$4="Worker",$M$10,$M$11)/'List Values'!$D$14), "")</f>
        <v>0.38491313348878325</v>
      </c>
      <c r="M34" s="69">
        <f>IFERROR($H34/(IF($K$4="Worker",$M$10,$M$11)/'List Values'!$D$15), "")</f>
        <v>0.96228283372195811</v>
      </c>
      <c r="N34" s="69">
        <f>IFERROR($H34/(IF($K$4="Worker",$M$10,$M$11)/'List Values'!$D$16), "")</f>
        <v>1.9245656674439162</v>
      </c>
      <c r="O34" s="69">
        <f>IFERROR($H34/(IF($K$4="Worker",$M$10,$M$11)/'List Values'!$D$17), "")</f>
        <v>38.491313348878322</v>
      </c>
      <c r="P34" s="93">
        <f>IFERROR($H34/(IF($K$4="Worker",$M$10,$M$11)/'List Values'!$D$18), "")</f>
        <v>384.91313348878327</v>
      </c>
      <c r="Q34" s="93">
        <f t="shared" ref="Q34" si="6">IFERROR(H34/$M$11,"")</f>
        <v>6.086068172568905E-2</v>
      </c>
      <c r="R34" s="143"/>
      <c r="S34" s="598">
        <f>IF(AND(ISNUMBER(VLOOKUP(B34,'Health Data'!$F$6:$J$25,4,FALSE)),$T$4=0.5),SUMIFS('Health Data'!$I$6:$I$25,'Health Data'!$F$6:$F$25,'RR &lt;PEL'!B34),IF(ISNUMBER(VLOOKUP(B34,'Health Data'!$F$6:$J$25,5,FALSE)),SUMIFS('Health Data'!$J$6:$J$25,'Health Data'!$F$6:$F$25,'RR &lt;PEL'!B34),"N/A"))</f>
        <v>1.4999999999999999E-2</v>
      </c>
      <c r="T34" s="141" t="s">
        <v>89</v>
      </c>
      <c r="U34" s="301">
        <f>VLOOKUP(B34,'Health Data'!$F$6:$K$25,6,FALSE)</f>
        <v>10</v>
      </c>
      <c r="V34" s="69">
        <f>IFERROR($S34/W$10, "")</f>
        <v>5.1647433562850911E-3</v>
      </c>
      <c r="W34" s="69">
        <f>IFERROR($S34/W$12, "")</f>
        <v>2.5823716781425456E-2</v>
      </c>
      <c r="X34" s="69">
        <f>IFERROR($S34/W$14, "")</f>
        <v>5.1647433562850911E-2</v>
      </c>
      <c r="Y34" s="93">
        <f>IFERROR($S34/W$16, "")</f>
        <v>0.10329486712570182</v>
      </c>
    </row>
    <row r="35" spans="1:28" s="30" customFormat="1" ht="13.5" customHeight="1" thickBot="1" x14ac:dyDescent="0.4">
      <c r="B35" s="659"/>
      <c r="C35" s="693"/>
      <c r="D35" s="651"/>
      <c r="E35" s="658"/>
      <c r="F35" s="653"/>
      <c r="G35" s="138"/>
      <c r="H35" s="599"/>
      <c r="I35" s="144" t="s">
        <v>106</v>
      </c>
      <c r="J35" s="302">
        <f>VLOOKUP(B34,'Health Data'!$F$6:$K$25,6,FALSE)</f>
        <v>10</v>
      </c>
      <c r="K35" s="87">
        <f>IFERROR($H34/IF($K$4="Worker",$M$12,$M$13), "")</f>
        <v>0.1104866703065529</v>
      </c>
      <c r="L35" s="87">
        <f>IFERROR($H34/(IF($K$4="Worker",$M$12,$M$13)/('List Values'!$D$14)), "")</f>
        <v>1.104866703065529</v>
      </c>
      <c r="M35" s="87">
        <f>IFERROR($H34/(IF($K$4="Worker",$M$12,$M$13)/'List Values'!$D$15), "")</f>
        <v>2.7621667576638225</v>
      </c>
      <c r="N35" s="87">
        <f>IFERROR($H34/(IF($K$4="Worker",$M$12,$M$13)/'List Values'!$D$16), "")</f>
        <v>5.5243335153276449</v>
      </c>
      <c r="O35" s="87">
        <f>IFERROR($H34/(IF($K$4="Worker",$M$12,$M$13)/'List Values'!$D$17), "")</f>
        <v>110.48667030655291</v>
      </c>
      <c r="P35" s="107">
        <f>IFERROR($H34/(IF($K$4="Worker",$M$12,$M$13)/'List Values'!$D$18), "")</f>
        <v>1104.866703065529</v>
      </c>
      <c r="Q35" s="107">
        <f t="shared" ref="Q35" si="7">IFERROR(H34/$M$13,"")</f>
        <v>0.22162026527328577</v>
      </c>
      <c r="R35" s="143"/>
      <c r="S35" s="599"/>
      <c r="T35" s="144" t="s">
        <v>92</v>
      </c>
      <c r="U35" s="302">
        <f>VLOOKUP(B34,'Health Data'!$F$6:$K$25,6,FALSE)</f>
        <v>10</v>
      </c>
      <c r="V35" s="70">
        <f>IFERROR($S34/W$11, "")</f>
        <v>1.7596160504552694E-2</v>
      </c>
      <c r="W35" s="70">
        <f>IFERROR($S34/W$13, "")</f>
        <v>8.7980802522763482E-2</v>
      </c>
      <c r="X35" s="70">
        <f>IFERROR($S34/W$15, "")</f>
        <v>0.17596160504552696</v>
      </c>
      <c r="Y35" s="174">
        <f>IFERROR($S34/W$17, "")</f>
        <v>0.35192321009105393</v>
      </c>
    </row>
    <row r="36" spans="1:28" s="30" customFormat="1" ht="12.75" customHeight="1" x14ac:dyDescent="0.35">
      <c r="B36" s="659" t="s">
        <v>123</v>
      </c>
      <c r="C36" s="693"/>
      <c r="D36" s="651" t="s">
        <v>201</v>
      </c>
      <c r="E36" s="658" t="s">
        <v>202</v>
      </c>
      <c r="F36" s="653" t="s">
        <v>203</v>
      </c>
      <c r="G36" s="142"/>
      <c r="H36" s="598">
        <f>IF(AND(ISNUMBER(VLOOKUP(B36,'Health Data'!$F$6:$H$25,2,FALSE)),$J$4=0.5),SUMIFS('Health Data'!$G$6:$G$25,'Health Data'!$F$6:$F$25,'RR &lt;PEL'!B36),IF(ISNUMBER(VLOOKUP(B36,'Health Data'!$F$6:$H$25,3,FALSE)),SUMIFS('Health Data'!$H$6:$H$25,'Health Data'!$F$6:$F$25,'RR &lt;PEL'!B36),SUMIFS('Health Data'!$G$6:$G$25,'Health Data'!$F$6:$F$25,'RR &lt;PEL'!B36)))</f>
        <v>4.8</v>
      </c>
      <c r="I36" s="141" t="s">
        <v>89</v>
      </c>
      <c r="J36" s="301">
        <f>VLOOKUP(B36,'Health Data'!$F$6:$K$25,6,FALSE)</f>
        <v>300</v>
      </c>
      <c r="K36" s="69">
        <f>IFERROR($H36/IF($K$4="Worker",$M$10,$M$11), "")</f>
        <v>7.3903321629846381</v>
      </c>
      <c r="L36" s="69">
        <f>IFERROR($H36/(IF($K$4="Worker",$M$10,$M$11)/'List Values'!$D$14), "")</f>
        <v>73.903321629846374</v>
      </c>
      <c r="M36" s="69">
        <f>IFERROR($H36/(IF($K$4="Worker",$M$10,$M$11)/'List Values'!$D$15), "")</f>
        <v>184.75830407461595</v>
      </c>
      <c r="N36" s="69">
        <f>IFERROR($H36/(IF($K$4="Worker",$M$10,$M$11)/'List Values'!$D$16), "")</f>
        <v>369.5166081492319</v>
      </c>
      <c r="O36" s="69">
        <f>IFERROR($H36/(IF($K$4="Worker",$M$10,$M$11)/'List Values'!$D$17), "")</f>
        <v>7390.3321629846378</v>
      </c>
      <c r="P36" s="93">
        <f>IFERROR($H36/(IF($K$4="Worker",$M$10,$M$11)/'List Values'!$D$18), "")</f>
        <v>73903.321629846381</v>
      </c>
      <c r="Q36" s="93">
        <f t="shared" ref="Q36" si="8">IFERROR(H36/$M$11,"")</f>
        <v>11.685250891332297</v>
      </c>
      <c r="R36" s="143"/>
      <c r="S36" s="598">
        <f>IF(AND(ISNUMBER(VLOOKUP(B36,'Health Data'!$F$6:$J$25,4,FALSE)),$T$4=0.5),SUMIFS('Health Data'!$I$6:$I$25,'Health Data'!$F$6:$F$25,'RR &lt;PEL'!B36),IF(ISNUMBER(VLOOKUP(B36,'Health Data'!$F$6:$J$25,5,FALSE)),SUMIFS('Health Data'!$J$6:$J$25,'Health Data'!$F$6:$F$25,'RR &lt;PEL'!B36),"N/A"))</f>
        <v>6.5</v>
      </c>
      <c r="T36" s="141" t="s">
        <v>89</v>
      </c>
      <c r="U36" s="301">
        <f>VLOOKUP(B36,'Health Data'!$F$6:$K$25,6,FALSE)</f>
        <v>300</v>
      </c>
      <c r="V36" s="69">
        <f>IFERROR($S36/W$10, "")</f>
        <v>2.238055454390206</v>
      </c>
      <c r="W36" s="69">
        <f>IFERROR($S36/W$12, "")</f>
        <v>11.190277271951031</v>
      </c>
      <c r="X36" s="69">
        <f>IFERROR($S36/W$14, "")</f>
        <v>22.380554543902061</v>
      </c>
      <c r="Y36" s="93">
        <f>IFERROR($S36/W$16, "")</f>
        <v>44.761109087804122</v>
      </c>
      <c r="AB36" s="98"/>
    </row>
    <row r="37" spans="1:28" s="31" customFormat="1" ht="13.5" customHeight="1" thickBot="1" x14ac:dyDescent="0.4">
      <c r="A37" s="30"/>
      <c r="B37" s="659"/>
      <c r="C37" s="693"/>
      <c r="D37" s="651"/>
      <c r="E37" s="658"/>
      <c r="F37" s="653"/>
      <c r="G37" s="142"/>
      <c r="H37" s="599"/>
      <c r="I37" s="140" t="s">
        <v>106</v>
      </c>
      <c r="J37" s="302">
        <f>VLOOKUP(B36,'Health Data'!$F$6:$K$25,6,FALSE)</f>
        <v>300</v>
      </c>
      <c r="K37" s="87">
        <f>IFERROR($H36/IF($K$4="Worker",$M$12,$M$13), "")</f>
        <v>21.213440698858157</v>
      </c>
      <c r="L37" s="87">
        <f>IFERROR($H36/(IF($K$4="Worker",$M$12,$M$13)/('List Values'!$D$14)), "")</f>
        <v>212.13440698858156</v>
      </c>
      <c r="M37" s="87">
        <f>IFERROR($H36/(IF($K$4="Worker",$M$12,$M$13)/'List Values'!$D$15), "")</f>
        <v>530.33601747145394</v>
      </c>
      <c r="N37" s="87">
        <f>IFERROR($H36/(IF($K$4="Worker",$M$12,$M$13)/'List Values'!$D$16), "")</f>
        <v>1060.6720349429079</v>
      </c>
      <c r="O37" s="87">
        <f>IFERROR($H36/(IF($K$4="Worker",$M$12,$M$13)/'List Values'!$D$17), "")</f>
        <v>21213.440698858158</v>
      </c>
      <c r="P37" s="107">
        <f>IFERROR($H36/(IF($K$4="Worker",$M$12,$M$13)/'List Values'!$D$18), "")</f>
        <v>212134.40698858156</v>
      </c>
      <c r="Q37" s="107">
        <f t="shared" ref="Q37" si="9">IFERROR(H36/$M$13,"")</f>
        <v>42.551090932470863</v>
      </c>
      <c r="R37" s="143"/>
      <c r="S37" s="599"/>
      <c r="T37" s="140" t="s">
        <v>92</v>
      </c>
      <c r="U37" s="302">
        <f>VLOOKUP(B36,'Health Data'!$F$6:$K$25,6,FALSE)</f>
        <v>300</v>
      </c>
      <c r="V37" s="70">
        <f>IFERROR($S36/W$11, "")</f>
        <v>7.6250028853061682</v>
      </c>
      <c r="W37" s="70">
        <f>IFERROR($S36/W$13, "")</f>
        <v>38.125014426530839</v>
      </c>
      <c r="X37" s="70">
        <f>IFERROR($S36/W$15, "")</f>
        <v>76.250028853061679</v>
      </c>
      <c r="Y37" s="174">
        <f>IFERROR($S36/W$17, "")</f>
        <v>152.50005770612336</v>
      </c>
    </row>
    <row r="38" spans="1:28" s="31" customFormat="1" ht="12.75" customHeight="1" x14ac:dyDescent="0.35">
      <c r="B38" s="659" t="s">
        <v>125</v>
      </c>
      <c r="C38" s="693"/>
      <c r="D38" s="651"/>
      <c r="E38" s="658" t="s">
        <v>204</v>
      </c>
      <c r="F38" s="653" t="s">
        <v>205</v>
      </c>
      <c r="G38" s="138"/>
      <c r="H38" s="598">
        <f>IF(AND(ISNUMBER(VLOOKUP(B38,'Health Data'!$F$6:$H$25,2,FALSE)),$J$4=0.5),SUMIFS('Health Data'!$G$6:$G$25,'Health Data'!$F$6:$F$25,'RR &lt;PEL'!B38),IF(ISNUMBER(VLOOKUP(B38,'Health Data'!$F$6:$H$25,3,FALSE)),SUMIFS('Health Data'!$H$6:$H$25,'Health Data'!$F$6:$F$25,'RR &lt;PEL'!B38),SUMIFS('Health Data'!$G$6:$G$25,'Health Data'!$F$6:$F$25,'RR &lt;PEL'!B38)))</f>
        <v>5.3</v>
      </c>
      <c r="I38" s="141" t="s">
        <v>89</v>
      </c>
      <c r="J38" s="301">
        <f>VLOOKUP(B38,'Health Data'!$F$6:$K$25,6,FALSE)</f>
        <v>10</v>
      </c>
      <c r="K38" s="69">
        <f>IFERROR($H38/IF($K$4="Worker",$M$10,$M$11), "")</f>
        <v>8.1601584299622054</v>
      </c>
      <c r="L38" s="69">
        <f>IFERROR($H38/(IF($K$4="Worker",$M$10,$M$11)/'List Values'!$D$14), "")</f>
        <v>81.601584299622047</v>
      </c>
      <c r="M38" s="69">
        <f>IFERROR($H38/(IF($K$4="Worker",$M$10,$M$11)/'List Values'!$D$15), "")</f>
        <v>204.0039607490551</v>
      </c>
      <c r="N38" s="69">
        <f>IFERROR($H38/(IF($K$4="Worker",$M$10,$M$11)/'List Values'!$D$16), "")</f>
        <v>408.00792149811019</v>
      </c>
      <c r="O38" s="69">
        <f>IFERROR($H38/(IF($K$4="Worker",$M$10,$M$11)/'List Values'!$D$17), "")</f>
        <v>8160.1584299622045</v>
      </c>
      <c r="P38" s="93">
        <f>IFERROR($H38/(IF($K$4="Worker",$M$10,$M$11)/'List Values'!$D$18), "")</f>
        <v>81601.584299622045</v>
      </c>
      <c r="Q38" s="93">
        <f t="shared" ref="Q38" si="10">IFERROR(H38/$M$11,"")</f>
        <v>12.902464525846078</v>
      </c>
      <c r="R38" s="143"/>
      <c r="S38" s="598">
        <f>IF(AND(ISNUMBER(VLOOKUP(B38,'Health Data'!$F$6:$J$25,4,FALSE)),$T$4=0.5),SUMIFS('Health Data'!$I$6:$I$25,'Health Data'!$F$6:$F$25,'RR &lt;PEL'!B38),IF(ISNUMBER(VLOOKUP(B38,'Health Data'!$F$6:$J$25,5,FALSE)),SUMIFS('Health Data'!$J$6:$J$25,'Health Data'!$F$6:$F$25,'RR &lt;PEL'!B38),"N/A"))</f>
        <v>7.3</v>
      </c>
      <c r="T38" s="141" t="s">
        <v>89</v>
      </c>
      <c r="U38" s="301">
        <f>VLOOKUP(B38,'Health Data'!$F$6:$K$25,6,FALSE)</f>
        <v>10</v>
      </c>
      <c r="V38" s="69">
        <f>IFERROR($S38/W$10, "")</f>
        <v>2.5135084333920776</v>
      </c>
      <c r="W38" s="69">
        <f>IFERROR($S38/W$12, "")</f>
        <v>12.567542166960388</v>
      </c>
      <c r="X38" s="69">
        <f>IFERROR($S38/W$14, "")</f>
        <v>25.135084333920776</v>
      </c>
      <c r="Y38" s="93">
        <f>IFERROR($S38/W$16, "")</f>
        <v>50.270168667841553</v>
      </c>
    </row>
    <row r="39" spans="1:28" s="31" customFormat="1" ht="13.5" customHeight="1" thickBot="1" x14ac:dyDescent="0.4">
      <c r="B39" s="659"/>
      <c r="C39" s="693"/>
      <c r="D39" s="651"/>
      <c r="E39" s="658"/>
      <c r="F39" s="653"/>
      <c r="G39" s="138"/>
      <c r="H39" s="599"/>
      <c r="I39" s="140" t="s">
        <v>106</v>
      </c>
      <c r="J39" s="302">
        <f>VLOOKUP(B38,'Health Data'!$F$6:$K$25,6,FALSE)</f>
        <v>10</v>
      </c>
      <c r="K39" s="298">
        <f>IFERROR($H38/IF($K$4="Worker",$M$12,$M$13), "")</f>
        <v>23.423174104989215</v>
      </c>
      <c r="L39" s="87">
        <f>IFERROR($H38/(IF($K$4="Worker",$M$12,$M$13)/('List Values'!$D$14)), "")</f>
        <v>234.23174104989212</v>
      </c>
      <c r="M39" s="87">
        <f>IFERROR($H38/(IF($K$4="Worker",$M$12,$M$13)/'List Values'!$D$15), "")</f>
        <v>585.5793526247304</v>
      </c>
      <c r="N39" s="87">
        <f>IFERROR($H38/(IF($K$4="Worker",$M$12,$M$13)/'List Values'!$D$16), "")</f>
        <v>1171.1587052494608</v>
      </c>
      <c r="O39" s="87">
        <f>IFERROR($H38/(IF($K$4="Worker",$M$12,$M$13)/'List Values'!$D$17), "")</f>
        <v>23423.174104989215</v>
      </c>
      <c r="P39" s="107">
        <f>IFERROR($H38/(IF($K$4="Worker",$M$12,$M$13)/'List Values'!$D$18), "")</f>
        <v>234231.74104989215</v>
      </c>
      <c r="Q39" s="107">
        <f t="shared" ref="Q39" si="11">IFERROR(H38/$M$13,"")</f>
        <v>46.983496237936578</v>
      </c>
      <c r="R39" s="143"/>
      <c r="S39" s="599"/>
      <c r="T39" s="140" t="s">
        <v>92</v>
      </c>
      <c r="U39" s="302">
        <f>VLOOKUP(B38,'Health Data'!$F$6:$K$25,6,FALSE)</f>
        <v>10</v>
      </c>
      <c r="V39" s="70">
        <f>IFERROR($S38/W$11, "")</f>
        <v>8.5634647788823113</v>
      </c>
      <c r="W39" s="70">
        <f>IFERROR($S38/W$13, "")</f>
        <v>42.817323894411558</v>
      </c>
      <c r="X39" s="70">
        <f>IFERROR($S38/W$15, "")</f>
        <v>85.634647788823116</v>
      </c>
      <c r="Y39" s="174">
        <f>IFERROR($S38/W$17, "")</f>
        <v>171.26929557764623</v>
      </c>
      <c r="AA39" s="30"/>
      <c r="AB39" s="30"/>
    </row>
    <row r="40" spans="1:28" s="31" customFormat="1" ht="12.75" customHeight="1" x14ac:dyDescent="0.35">
      <c r="B40" s="659" t="s">
        <v>127</v>
      </c>
      <c r="C40" s="693"/>
      <c r="D40" s="651" t="s">
        <v>206</v>
      </c>
      <c r="E40" s="658" t="s">
        <v>207</v>
      </c>
      <c r="F40" s="653" t="s">
        <v>208</v>
      </c>
      <c r="G40" s="142"/>
      <c r="H40" s="598">
        <f>IF(AND(ISNUMBER(VLOOKUP(B40,'Health Data'!$F$6:$H$25,2,FALSE)),$J$4=0.5),SUMIFS('Health Data'!$G$6:$G$25,'Health Data'!$F$6:$F$25,'RR &lt;PEL'!B40),IF(ISNUMBER(VLOOKUP(B40,'Health Data'!$F$6:$H$25,3,FALSE)),SUMIFS('Health Data'!$H$6:$H$25,'Health Data'!$F$6:$F$25,'RR &lt;PEL'!B40),SUMIFS('Health Data'!$G$6:$G$25,'Health Data'!$F$6:$F$25,'RR &lt;PEL'!B40)))</f>
        <v>0.5</v>
      </c>
      <c r="I40" s="141" t="s">
        <v>89</v>
      </c>
      <c r="J40" s="301">
        <f>VLOOKUP(B40,'Health Data'!$F$6:$K$25,6,FALSE)</f>
        <v>30</v>
      </c>
      <c r="K40" s="69">
        <f>IFERROR($H40/IF($K$4="Worker",$M$10,$M$11), "")</f>
        <v>0.76982626697756651</v>
      </c>
      <c r="L40" s="69">
        <f>IFERROR($H40/(IF($K$4="Worker",$M$10,$M$11)/'List Values'!$D$14), "")</f>
        <v>7.6982626697756649</v>
      </c>
      <c r="M40" s="69">
        <f>IFERROR($H40/(IF($K$4="Worker",$M$10,$M$11)/'List Values'!$D$15), "")</f>
        <v>19.245656674439161</v>
      </c>
      <c r="N40" s="69">
        <f>IFERROR($H40/(IF($K$4="Worker",$M$10,$M$11)/'List Values'!$D$16), "")</f>
        <v>38.491313348878322</v>
      </c>
      <c r="O40" s="69">
        <f>IFERROR($H40/(IF($K$4="Worker",$M$10,$M$11)/'List Values'!$D$17), "")</f>
        <v>769.82626697756643</v>
      </c>
      <c r="P40" s="93">
        <f>IFERROR($H40/(IF($K$4="Worker",$M$10,$M$11)/'List Values'!$D$18), "")</f>
        <v>7698.262669775665</v>
      </c>
      <c r="Q40" s="93">
        <f t="shared" ref="Q40" si="12">IFERROR(H40/$M$11,"")</f>
        <v>1.217213634513781</v>
      </c>
      <c r="R40" s="143"/>
      <c r="S40" s="598">
        <f>IF(AND(ISNUMBER(VLOOKUP(B40,'Health Data'!$F$6:$J$25,4,FALSE)),$T$4=0.5),SUMIFS('Health Data'!$I$6:$I$25,'Health Data'!$F$6:$F$25,'RR &lt;PEL'!B40),IF(ISNUMBER(VLOOKUP(B40,'Health Data'!$F$6:$J$25,5,FALSE)),SUMIFS('Health Data'!$J$6:$J$25,'Health Data'!$F$6:$F$25,'RR &lt;PEL'!B40),"N/A"))</f>
        <v>0.73</v>
      </c>
      <c r="T40" s="141" t="s">
        <v>89</v>
      </c>
      <c r="U40" s="301">
        <f>VLOOKUP(B40,'Health Data'!$F$6:$K$25,6,FALSE)</f>
        <v>30</v>
      </c>
      <c r="V40" s="69">
        <f>IFERROR($S40/W$10, "")</f>
        <v>0.25135084333920776</v>
      </c>
      <c r="W40" s="69">
        <f>IFERROR($S40/W$12, "")</f>
        <v>1.2567542166960388</v>
      </c>
      <c r="X40" s="69">
        <f>IFERROR($S40/W$14, "")</f>
        <v>2.5135084333920776</v>
      </c>
      <c r="Y40" s="93">
        <f>IFERROR($S40/W$16, "")</f>
        <v>5.0270168667841553</v>
      </c>
      <c r="AA40" s="30"/>
      <c r="AB40" s="30"/>
    </row>
    <row r="41" spans="1:28" s="31" customFormat="1" ht="13.5" customHeight="1" thickBot="1" x14ac:dyDescent="0.4">
      <c r="B41" s="659"/>
      <c r="C41" s="693"/>
      <c r="D41" s="651"/>
      <c r="E41" s="658"/>
      <c r="F41" s="653"/>
      <c r="G41" s="142"/>
      <c r="H41" s="599"/>
      <c r="I41" s="140" t="s">
        <v>106</v>
      </c>
      <c r="J41" s="302">
        <f>VLOOKUP(B40,'Health Data'!$F$6:$K$25,6,FALSE)</f>
        <v>30</v>
      </c>
      <c r="K41" s="298">
        <f>IFERROR($H40/IF($K$4="Worker",$M$12,$M$13), "")</f>
        <v>2.2097334061310581</v>
      </c>
      <c r="L41" s="87">
        <f>IFERROR($H40/(IF($K$4="Worker",$M$12,$M$13)/('List Values'!$D$14)), "")</f>
        <v>22.09733406131058</v>
      </c>
      <c r="M41" s="87">
        <f>IFERROR($H40/(IF($K$4="Worker",$M$12,$M$13)/'List Values'!$D$15), "")</f>
        <v>55.243335153276448</v>
      </c>
      <c r="N41" s="87">
        <f>IFERROR($H40/(IF($K$4="Worker",$M$12,$M$13)/'List Values'!$D$16), "")</f>
        <v>110.4866703065529</v>
      </c>
      <c r="O41" s="87">
        <f>IFERROR($H40/(IF($K$4="Worker",$M$12,$M$13)/'List Values'!$D$17), "")</f>
        <v>2209.733406131058</v>
      </c>
      <c r="P41" s="107">
        <f>IFERROR($H40/(IF($K$4="Worker",$M$12,$M$13)/'List Values'!$D$18), "")</f>
        <v>22097.334061310579</v>
      </c>
      <c r="Q41" s="107">
        <f t="shared" ref="Q41" si="13">IFERROR(H40/$M$13,"")</f>
        <v>4.4324053054657151</v>
      </c>
      <c r="R41" s="143"/>
      <c r="S41" s="599"/>
      <c r="T41" s="140" t="s">
        <v>92</v>
      </c>
      <c r="U41" s="302">
        <f>VLOOKUP(B40,'Health Data'!$F$6:$K$25,6,FALSE)</f>
        <v>30</v>
      </c>
      <c r="V41" s="70">
        <f>IFERROR($S40/W$11, "")</f>
        <v>0.85634647788823115</v>
      </c>
      <c r="W41" s="70">
        <f>IFERROR($S40/W$13, "")</f>
        <v>4.2817323894411556</v>
      </c>
      <c r="X41" s="70">
        <f>IFERROR($S40/W$15, "")</f>
        <v>8.5634647788823113</v>
      </c>
      <c r="Y41" s="174">
        <f>IFERROR($S40/W$17, "")</f>
        <v>17.126929557764623</v>
      </c>
    </row>
    <row r="42" spans="1:28" s="31" customFormat="1" ht="12.75" customHeight="1" x14ac:dyDescent="0.35">
      <c r="B42" s="659" t="s">
        <v>129</v>
      </c>
      <c r="C42" s="693"/>
      <c r="D42" s="651"/>
      <c r="E42" s="658" t="s">
        <v>209</v>
      </c>
      <c r="F42" s="653" t="s">
        <v>189</v>
      </c>
      <c r="G42" s="142"/>
      <c r="H42" s="598">
        <f>IF(AND(ISNUMBER(VLOOKUP(B42,'Health Data'!$F$6:$H$25,2,FALSE)),$J$4=0.5),SUMIFS('Health Data'!$G$6:$G$25,'Health Data'!$F$6:$F$25,'RR &lt;PEL'!B42),IF(ISNUMBER(VLOOKUP(B42,'Health Data'!$F$6:$H$25,3,FALSE)),SUMIFS('Health Data'!$H$6:$H$25,'Health Data'!$F$6:$F$25,'RR &lt;PEL'!B42),SUMIFS('Health Data'!$G$6:$G$25,'Health Data'!$F$6:$F$25,'RR &lt;PEL'!B42)))</f>
        <v>37</v>
      </c>
      <c r="I42" s="141" t="s">
        <v>89</v>
      </c>
      <c r="J42" s="301">
        <f>VLOOKUP(B42,'Health Data'!$F$6:$K$25,6,FALSE)</f>
        <v>100</v>
      </c>
      <c r="K42" s="69">
        <f>IFERROR($H42/IF($K$4="Worker",$M$10,$M$11), "")</f>
        <v>56.967143756339922</v>
      </c>
      <c r="L42" s="69">
        <f>IFERROR($H42/(IF($K$4="Worker",$M$10,$M$11)/'List Values'!$D$14), "")</f>
        <v>569.67143756339919</v>
      </c>
      <c r="M42" s="69">
        <f>IFERROR($H42/(IF($K$4="Worker",$M$10,$M$11)/'List Values'!$D$15), "")</f>
        <v>1424.178593908498</v>
      </c>
      <c r="N42" s="69">
        <f>IFERROR($H42/(IF($K$4="Worker",$M$10,$M$11)/'List Values'!$D$16), "")</f>
        <v>2848.357187816996</v>
      </c>
      <c r="O42" s="69">
        <f>IFERROR($H42/(IF($K$4="Worker",$M$10,$M$11)/'List Values'!$D$17), "")</f>
        <v>56967.143756339916</v>
      </c>
      <c r="P42" s="93">
        <f>IFERROR($H42/(IF($K$4="Worker",$M$10,$M$11)/'List Values'!$D$18), "")</f>
        <v>569671.4375633992</v>
      </c>
      <c r="Q42" s="93">
        <f t="shared" ref="Q42" si="14">IFERROR(H42/$M$11,"")</f>
        <v>90.073808954019782</v>
      </c>
      <c r="R42" s="143"/>
      <c r="S42" s="598">
        <f>IF(AND(ISNUMBER(VLOOKUP(B42,'Health Data'!$F$6:$J$25,4,FALSE)),$T$4=0.5),SUMIFS('Health Data'!$I$6:$I$25,'Health Data'!$F$6:$F$25,'RR &lt;PEL'!B42),IF(ISNUMBER(VLOOKUP(B42,'Health Data'!$F$6:$J$25,5,FALSE)),SUMIFS('Health Data'!$J$6:$J$25,'Health Data'!$F$6:$F$25,'RR &lt;PEL'!B42),"N/A"))</f>
        <v>44</v>
      </c>
      <c r="T42" s="141" t="s">
        <v>89</v>
      </c>
      <c r="U42" s="301">
        <f>VLOOKUP(B42,'Health Data'!$F$6:$K$25,6,FALSE)</f>
        <v>100</v>
      </c>
      <c r="V42" s="69">
        <f>IFERROR($S42/W$10, "")</f>
        <v>15.149913845102935</v>
      </c>
      <c r="W42" s="69">
        <f>IFERROR($S42/W$12, "")</f>
        <v>75.749569225514676</v>
      </c>
      <c r="X42" s="69">
        <f>IFERROR($S42/W$14, "")</f>
        <v>151.49913845102935</v>
      </c>
      <c r="Y42" s="93">
        <f>IFERROR($S42/W$16, "")</f>
        <v>302.99827690205871</v>
      </c>
    </row>
    <row r="43" spans="1:28" s="31" customFormat="1" ht="13.5" customHeight="1" thickBot="1" x14ac:dyDescent="0.4">
      <c r="B43" s="659"/>
      <c r="C43" s="693"/>
      <c r="D43" s="651"/>
      <c r="E43" s="658"/>
      <c r="F43" s="653"/>
      <c r="G43" s="142"/>
      <c r="H43" s="599"/>
      <c r="I43" s="140" t="s">
        <v>106</v>
      </c>
      <c r="J43" s="302">
        <f>VLOOKUP(B42,'Health Data'!$F$6:$K$25,6,FALSE)</f>
        <v>100</v>
      </c>
      <c r="K43" s="298">
        <f>IFERROR($H42/IF($K$4="Worker",$M$12,$M$13), "")</f>
        <v>163.52027205369828</v>
      </c>
      <c r="L43" s="87">
        <f>IFERROR($H42/(IF($K$4="Worker",$M$12,$M$13)/('List Values'!$D$14)), "")</f>
        <v>1635.202720536983</v>
      </c>
      <c r="M43" s="87">
        <f>IFERROR($H42/(IF($K$4="Worker",$M$12,$M$13)/'List Values'!$D$15), "")</f>
        <v>4088.0068013424575</v>
      </c>
      <c r="N43" s="87">
        <f>IFERROR($H42/(IF($K$4="Worker",$M$12,$M$13)/'List Values'!$D$16), "")</f>
        <v>8176.013602684915</v>
      </c>
      <c r="O43" s="87">
        <f>IFERROR($H42/(IF($K$4="Worker",$M$12,$M$13)/'List Values'!$D$17), "")</f>
        <v>163520.27205369828</v>
      </c>
      <c r="P43" s="107">
        <f>IFERROR($H42/(IF($K$4="Worker",$M$12,$M$13)/'List Values'!$D$18), "")</f>
        <v>1635202.7205369829</v>
      </c>
      <c r="Q43" s="107">
        <f t="shared" ref="Q43" si="15">IFERROR(H42/$M$13,"")</f>
        <v>327.99799260446292</v>
      </c>
      <c r="R43" s="143"/>
      <c r="S43" s="599"/>
      <c r="T43" s="140" t="s">
        <v>92</v>
      </c>
      <c r="U43" s="302">
        <f>VLOOKUP(B42,'Health Data'!$F$6:$K$25,6,FALSE)</f>
        <v>100</v>
      </c>
      <c r="V43" s="70">
        <f>IFERROR($S42/W$11, "")</f>
        <v>51.615404146687908</v>
      </c>
      <c r="W43" s="70">
        <f>IFERROR($S42/W$13, "")</f>
        <v>258.07702073343955</v>
      </c>
      <c r="X43" s="70">
        <f>IFERROR($S42/W$15, "")</f>
        <v>516.15404146687911</v>
      </c>
      <c r="Y43" s="174">
        <f>IFERROR($S42/W$17, "")</f>
        <v>1032.3080829337582</v>
      </c>
    </row>
    <row r="44" spans="1:28" s="31" customFormat="1" ht="12.75" customHeight="1" x14ac:dyDescent="0.35">
      <c r="B44" s="659" t="s">
        <v>131</v>
      </c>
      <c r="C44" s="693"/>
      <c r="D44" s="651" t="s">
        <v>183</v>
      </c>
      <c r="E44" s="658" t="s">
        <v>210</v>
      </c>
      <c r="F44" s="653" t="s">
        <v>185</v>
      </c>
      <c r="G44" s="142"/>
      <c r="H44" s="598">
        <f>IF(AND(ISNUMBER(VLOOKUP(B44,'Health Data'!$F$6:$H$25,2,FALSE)),$J$4=0.5),SUMIFS('Health Data'!$G$6:$G$25,'Health Data'!$F$6:$F$25,'RR &lt;PEL'!B44),IF(ISNUMBER(VLOOKUP(B44,'Health Data'!$F$6:$H$25,3,FALSE)),SUMIFS('Health Data'!$H$6:$H$25,'Health Data'!$F$6:$F$25,'RR &lt;PEL'!B44),SUMIFS('Health Data'!$G$6:$G$25,'Health Data'!$F$6:$F$25,'RR &lt;PEL'!B44)))</f>
        <v>3.7000000000000002E-3</v>
      </c>
      <c r="I44" s="141" t="s">
        <v>89</v>
      </c>
      <c r="J44" s="301">
        <f>VLOOKUP(B44,'Health Data'!$F$6:$K$25,6,FALSE)</f>
        <v>10</v>
      </c>
      <c r="K44" s="69">
        <f>IFERROR($H44/IF($K$4="Worker",$M$10,$M$11), "")</f>
        <v>5.6967143756339921E-3</v>
      </c>
      <c r="L44" s="69">
        <f>IFERROR($H44/(IF($K$4="Worker",$M$10,$M$11)/'List Values'!$D$14), "")</f>
        <v>5.6967143756339926E-2</v>
      </c>
      <c r="M44" s="69">
        <f>IFERROR($H44/(IF($K$4="Worker",$M$10,$M$11)/'List Values'!$D$15), "")</f>
        <v>0.1424178593908498</v>
      </c>
      <c r="N44" s="69">
        <f>IFERROR($H44/(IF($K$4="Worker",$M$10,$M$11)/'List Values'!$D$16), "")</f>
        <v>0.28483571878169961</v>
      </c>
      <c r="O44" s="69">
        <f>IFERROR($H44/(IF($K$4="Worker",$M$10,$M$11)/'List Values'!$D$17), "")</f>
        <v>5.6967143756339924</v>
      </c>
      <c r="P44" s="93">
        <f>IFERROR($H44/(IF($K$4="Worker",$M$10,$M$11)/'List Values'!$D$18), "")</f>
        <v>56.967143756339922</v>
      </c>
      <c r="Q44" s="93">
        <f t="shared" ref="Q44" si="16">IFERROR(H44/$M$11,"")</f>
        <v>9.0073808954019789E-3</v>
      </c>
      <c r="R44" s="143"/>
      <c r="S44" s="598">
        <f>IF(AND(ISNUMBER(VLOOKUP(B44,'Health Data'!$F$6:$J$25,4,FALSE)),$T$4=0.5),SUMIFS('Health Data'!$I$6:$I$25,'Health Data'!$F$6:$F$25,'RR &lt;PEL'!B44),IF(ISNUMBER(VLOOKUP(B44,'Health Data'!$F$6:$J$25,5,FALSE)),SUMIFS('Health Data'!$J$6:$J$25,'Health Data'!$F$6:$F$25,'RR &lt;PEL'!B44),"N/A"))</f>
        <v>5.1999999999999998E-3</v>
      </c>
      <c r="T44" s="141" t="s">
        <v>89</v>
      </c>
      <c r="U44" s="301">
        <f>VLOOKUP(B44,'Health Data'!$F$6:$K$25,6,FALSE)</f>
        <v>10</v>
      </c>
      <c r="V44" s="69">
        <f>IFERROR($S44/W$10, "")</f>
        <v>1.7904443635121648E-3</v>
      </c>
      <c r="W44" s="69">
        <f>IFERROR($S44/W$12, "")</f>
        <v>8.9522218175608244E-3</v>
      </c>
      <c r="X44" s="69">
        <f>IFERROR($S44/W$14, "")</f>
        <v>1.7904443635121649E-2</v>
      </c>
      <c r="Y44" s="93">
        <f>IFERROR($S44/W$16, "")</f>
        <v>3.5808887270243298E-2</v>
      </c>
    </row>
    <row r="45" spans="1:28" s="31" customFormat="1" ht="13.5" customHeight="1" thickBot="1" x14ac:dyDescent="0.4">
      <c r="B45" s="659"/>
      <c r="C45" s="693"/>
      <c r="D45" s="651"/>
      <c r="E45" s="658"/>
      <c r="F45" s="653"/>
      <c r="G45" s="142"/>
      <c r="H45" s="599"/>
      <c r="I45" s="140" t="s">
        <v>106</v>
      </c>
      <c r="J45" s="302">
        <f>VLOOKUP(B44,'Health Data'!$F$6:$K$25,6,FALSE)</f>
        <v>10</v>
      </c>
      <c r="K45" s="298">
        <f>IFERROR($H44/IF($K$4="Worker",$M$12,$M$13), "")</f>
        <v>1.635202720536983E-2</v>
      </c>
      <c r="L45" s="87">
        <f>IFERROR($H44/(IF($K$4="Worker",$M$12,$M$13)/('List Values'!$D$14)), "")</f>
        <v>0.16352027205369829</v>
      </c>
      <c r="M45" s="87">
        <f>IFERROR($H44/(IF($K$4="Worker",$M$12,$M$13)/'List Values'!$D$15), "")</f>
        <v>0.40880068013424575</v>
      </c>
      <c r="N45" s="87">
        <f>IFERROR($H44/(IF($K$4="Worker",$M$12,$M$13)/'List Values'!$D$16), "")</f>
        <v>0.81760136026849151</v>
      </c>
      <c r="O45" s="87">
        <f>IFERROR($H44/(IF($K$4="Worker",$M$12,$M$13)/'List Values'!$D$17), "")</f>
        <v>16.352027205369829</v>
      </c>
      <c r="P45" s="107">
        <f>IFERROR($H44/(IF($K$4="Worker",$M$12,$M$13)/'List Values'!$D$18), "")</f>
        <v>163.52027205369831</v>
      </c>
      <c r="Q45" s="107">
        <f t="shared" ref="Q45" si="17">IFERROR(H44/$M$13,"")</f>
        <v>3.2799799260446294E-2</v>
      </c>
      <c r="R45" s="143"/>
      <c r="S45" s="599"/>
      <c r="T45" s="140" t="s">
        <v>92</v>
      </c>
      <c r="U45" s="302">
        <f>VLOOKUP(B44,'Health Data'!$F$6:$K$25,6,FALSE)</f>
        <v>10</v>
      </c>
      <c r="V45" s="70">
        <f>IFERROR($S44/W$11, "")</f>
        <v>6.1000023082449341E-3</v>
      </c>
      <c r="W45" s="70">
        <f>IFERROR($S44/W$13, "")</f>
        <v>3.0500011541224673E-2</v>
      </c>
      <c r="X45" s="70">
        <f>IFERROR($S44/W$15, "")</f>
        <v>6.1000023082449346E-2</v>
      </c>
      <c r="Y45" s="174">
        <f>IFERROR($S44/W$17, "")</f>
        <v>0.12200004616489869</v>
      </c>
    </row>
    <row r="46" spans="1:28" s="31" customFormat="1" ht="12.75" customHeight="1" x14ac:dyDescent="0.35">
      <c r="B46" s="659" t="s">
        <v>133</v>
      </c>
      <c r="C46" s="693"/>
      <c r="D46" s="651"/>
      <c r="E46" s="658" t="s">
        <v>186</v>
      </c>
      <c r="F46" s="653" t="s">
        <v>187</v>
      </c>
      <c r="G46" s="142"/>
      <c r="H46" s="598">
        <f>IF(AND(ISNUMBER(VLOOKUP(B46,'Health Data'!$F$6:$H$25,2,FALSE)),$J$4=0.5),SUMIFS('Health Data'!$G$6:$G$25,'Health Data'!$F$6:$F$25,'RR &lt;PEL'!B46),IF(ISNUMBER(VLOOKUP(B46,'Health Data'!$F$6:$H$25,3,FALSE)),SUMIFS('Health Data'!$H$6:$H$25,'Health Data'!$F$6:$F$25,'RR &lt;PEL'!B46),SUMIFS('Health Data'!$G$6:$G$25,'Health Data'!$F$6:$F$25,'RR &lt;PEL'!B46)))</f>
        <v>3</v>
      </c>
      <c r="I46" s="141" t="s">
        <v>89</v>
      </c>
      <c r="J46" s="301">
        <f>VLOOKUP(B46,'Health Data'!$F$6:$K$25,6,FALSE)</f>
        <v>300</v>
      </c>
      <c r="K46" s="69">
        <f>IFERROR($H46/IF($K$4="Worker",$M$10,$M$11), "")</f>
        <v>4.6189576018653993</v>
      </c>
      <c r="L46" s="69">
        <f>IFERROR($H46/(IF($K$4="Worker",$M$10,$M$11)/'List Values'!$D$14), "")</f>
        <v>46.189576018653987</v>
      </c>
      <c r="M46" s="69">
        <f>IFERROR($H46/(IF($K$4="Worker",$M$10,$M$11)/'List Values'!$D$15), "")</f>
        <v>115.47394004663497</v>
      </c>
      <c r="N46" s="69">
        <f>IFERROR($H46/(IF($K$4="Worker",$M$10,$M$11)/'List Values'!$D$16), "")</f>
        <v>230.94788009326993</v>
      </c>
      <c r="O46" s="69">
        <f>IFERROR($H46/(IF($K$4="Worker",$M$10,$M$11)/'List Values'!$D$17), "")</f>
        <v>4618.9576018653988</v>
      </c>
      <c r="P46" s="93">
        <f>IFERROR($H46/(IF($K$4="Worker",$M$10,$M$11)/'List Values'!$D$18), "")</f>
        <v>46189.576018653985</v>
      </c>
      <c r="Q46" s="93">
        <f t="shared" ref="Q46" si="18">IFERROR(H46/$M$11,"")</f>
        <v>7.3032818070826853</v>
      </c>
      <c r="R46" s="143"/>
      <c r="S46" s="598">
        <f>IF(AND(ISNUMBER(VLOOKUP(B46,'Health Data'!$F$6:$J$25,4,FALSE)),$T$4=0.5),SUMIFS('Health Data'!$I$6:$I$25,'Health Data'!$F$6:$F$25,'RR &lt;PEL'!B46),IF(ISNUMBER(VLOOKUP(B46,'Health Data'!$F$6:$J$25,5,FALSE)),SUMIFS('Health Data'!$J$6:$J$25,'Health Data'!$F$6:$F$25,'RR &lt;PEL'!B46),"N/A"))</f>
        <v>4.0999999999999996</v>
      </c>
      <c r="T46" s="141" t="s">
        <v>89</v>
      </c>
      <c r="U46" s="301">
        <f>VLOOKUP(B46,'Health Data'!$F$6:$K$25,6,FALSE)</f>
        <v>300</v>
      </c>
      <c r="V46" s="69">
        <f>IFERROR($S46/W$10, "")</f>
        <v>1.4116965173845915</v>
      </c>
      <c r="W46" s="69">
        <f>IFERROR($S46/W$12, "")</f>
        <v>7.058482586922957</v>
      </c>
      <c r="X46" s="69">
        <f>IFERROR($S46/W$14, "")</f>
        <v>14.116965173845914</v>
      </c>
      <c r="Y46" s="93">
        <f>IFERROR($S46/W$16, "")</f>
        <v>28.233930347691828</v>
      </c>
    </row>
    <row r="47" spans="1:28" s="31" customFormat="1" ht="13.5" customHeight="1" thickBot="1" x14ac:dyDescent="0.4">
      <c r="B47" s="659"/>
      <c r="C47" s="693"/>
      <c r="D47" s="651"/>
      <c r="E47" s="658"/>
      <c r="F47" s="653"/>
      <c r="G47" s="142"/>
      <c r="H47" s="599"/>
      <c r="I47" s="140" t="s">
        <v>106</v>
      </c>
      <c r="J47" s="302">
        <f>VLOOKUP(B46,'Health Data'!$F$6:$K$25,6,FALSE)</f>
        <v>300</v>
      </c>
      <c r="K47" s="298">
        <f>IFERROR($H46/IF($K$4="Worker",$M$12,$M$13), "")</f>
        <v>13.258400436786347</v>
      </c>
      <c r="L47" s="87">
        <f>IFERROR($H46/(IF($K$4="Worker",$M$12,$M$13)/('List Values'!$D$14)), "")</f>
        <v>132.58400436786349</v>
      </c>
      <c r="M47" s="87">
        <f>IFERROR($H46/(IF($K$4="Worker",$M$12,$M$13)/'List Values'!$D$15), "")</f>
        <v>331.46001091965871</v>
      </c>
      <c r="N47" s="87">
        <f>IFERROR($H46/(IF($K$4="Worker",$M$12,$M$13)/'List Values'!$D$16), "")</f>
        <v>662.92002183931743</v>
      </c>
      <c r="O47" s="87">
        <f>IFERROR($H46/(IF($K$4="Worker",$M$12,$M$13)/'List Values'!$D$17), "")</f>
        <v>13258.400436786347</v>
      </c>
      <c r="P47" s="107">
        <f>IFERROR($H46/(IF($K$4="Worker",$M$12,$M$13)/'List Values'!$D$18), "")</f>
        <v>132584.00436786347</v>
      </c>
      <c r="Q47" s="107">
        <f t="shared" ref="Q47" si="19">IFERROR(H46/$M$13,"")</f>
        <v>26.594431832794289</v>
      </c>
      <c r="R47" s="143"/>
      <c r="S47" s="599"/>
      <c r="T47" s="140" t="s">
        <v>92</v>
      </c>
      <c r="U47" s="302">
        <f>VLOOKUP(B46,'Health Data'!$F$6:$K$25,6,FALSE)</f>
        <v>300</v>
      </c>
      <c r="V47" s="70">
        <f>IFERROR($S46/W$11, "")</f>
        <v>4.8096172045777363</v>
      </c>
      <c r="W47" s="70">
        <f>IFERROR($S46/W$13, "")</f>
        <v>24.048086022888683</v>
      </c>
      <c r="X47" s="70">
        <f>IFERROR($S46/W$15, "")</f>
        <v>48.096172045777365</v>
      </c>
      <c r="Y47" s="174">
        <f>IFERROR($S46/W$17, "")</f>
        <v>96.19234409155473</v>
      </c>
    </row>
    <row r="48" spans="1:28" s="31" customFormat="1" ht="12.75" customHeight="1" x14ac:dyDescent="0.35">
      <c r="B48" s="659" t="s">
        <v>135</v>
      </c>
      <c r="C48" s="693"/>
      <c r="D48" s="651"/>
      <c r="E48" s="658" t="s">
        <v>188</v>
      </c>
      <c r="F48" s="653" t="s">
        <v>189</v>
      </c>
      <c r="G48" s="142"/>
      <c r="H48" s="598">
        <f>IF(AND(ISNUMBER(VLOOKUP(B48,'Health Data'!$F$6:$H$25,2,FALSE)),$J$4=0.5),SUMIFS('Health Data'!$G$6:$G$25,'Health Data'!$F$6:$F$25,'RR &lt;PEL'!B48),IF(ISNUMBER(VLOOKUP(B48,'Health Data'!$F$6:$H$25,3,FALSE)),SUMIFS('Health Data'!$H$6:$H$25,'Health Data'!$F$6:$F$25,'RR &lt;PEL'!B48),SUMIFS('Health Data'!$G$6:$G$25,'Health Data'!$F$6:$F$25,'RR &lt;PEL'!B48)))</f>
        <v>23</v>
      </c>
      <c r="I48" s="141" t="s">
        <v>89</v>
      </c>
      <c r="J48" s="301">
        <f>VLOOKUP(B48,'Health Data'!$F$6:$K$25,6,FALSE)</f>
        <v>10</v>
      </c>
      <c r="K48" s="69">
        <f>IFERROR($H48/IF($K$4="Worker",$M$10,$M$11), "")</f>
        <v>35.41200828096806</v>
      </c>
      <c r="L48" s="69">
        <f>IFERROR($H48/(IF($K$4="Worker",$M$10,$M$11)/'List Values'!$D$14), "")</f>
        <v>354.12008280968058</v>
      </c>
      <c r="M48" s="69">
        <f>IFERROR($H48/(IF($K$4="Worker",$M$10,$M$11)/'List Values'!$D$15), "")</f>
        <v>885.30020702420143</v>
      </c>
      <c r="N48" s="69">
        <f>IFERROR($H48/(IF($K$4="Worker",$M$10,$M$11)/'List Values'!$D$16), "")</f>
        <v>1770.6004140484029</v>
      </c>
      <c r="O48" s="69">
        <f>IFERROR($H48/(IF($K$4="Worker",$M$10,$M$11)/'List Values'!$D$17), "")</f>
        <v>35412.008280968053</v>
      </c>
      <c r="P48" s="93">
        <f>IFERROR($H48/(IF($K$4="Worker",$M$10,$M$11)/'List Values'!$D$18), "")</f>
        <v>354120.08280968055</v>
      </c>
      <c r="Q48" s="93">
        <f>IFERROR(H48/$M$11,"")</f>
        <v>55.991827187633923</v>
      </c>
      <c r="R48" s="143"/>
      <c r="S48" s="598">
        <f>IF(AND(ISNUMBER(VLOOKUP(B48,'Health Data'!$F$6:$J$25,4,FALSE)),$T$4=0.5),SUMIFS('Health Data'!$I$6:$I$25,'Health Data'!$F$6:$F$25,'RR &lt;PEL'!B48),IF(ISNUMBER(VLOOKUP(B48,'Health Data'!$F$6:$J$25,5,FALSE)),SUMIFS('Health Data'!$J$6:$J$25,'Health Data'!$F$6:$F$25,'RR &lt;PEL'!B48),"N/A"))</f>
        <v>28</v>
      </c>
      <c r="T48" s="141" t="s">
        <v>89</v>
      </c>
      <c r="U48" s="301">
        <f>VLOOKUP(B48,'Health Data'!$F$6:$K$25,6,FALSE)</f>
        <v>10</v>
      </c>
      <c r="V48" s="69">
        <f>IFERROR($S48/W$10, "")</f>
        <v>9.6408542650655029</v>
      </c>
      <c r="W48" s="69">
        <f>IFERROR($S48/W$12, "")</f>
        <v>48.204271325327518</v>
      </c>
      <c r="X48" s="69">
        <f>IFERROR($S48/W$14, "")</f>
        <v>96.408542650655036</v>
      </c>
      <c r="Y48" s="93">
        <f>IFERROR($S48/W$16, "")</f>
        <v>192.81708530131007</v>
      </c>
    </row>
    <row r="49" spans="1:27" s="31" customFormat="1" ht="13.5" customHeight="1" thickBot="1" x14ac:dyDescent="0.4">
      <c r="B49" s="659"/>
      <c r="C49" s="693"/>
      <c r="D49" s="651"/>
      <c r="E49" s="658"/>
      <c r="F49" s="653"/>
      <c r="G49" s="142"/>
      <c r="H49" s="599"/>
      <c r="I49" s="140" t="s">
        <v>106</v>
      </c>
      <c r="J49" s="302">
        <f>VLOOKUP(B48,'Health Data'!$F$6:$K$25,6,FALSE)</f>
        <v>10</v>
      </c>
      <c r="K49" s="298">
        <f>IFERROR($H48/IF($K$4="Worker",$M$12,$M$13), "")</f>
        <v>101.64773668202866</v>
      </c>
      <c r="L49" s="87">
        <f>IFERROR($H48/(IF($K$4="Worker",$M$12,$M$13)/('List Values'!$D$14)), "")</f>
        <v>1016.4773668202866</v>
      </c>
      <c r="M49" s="87">
        <f>IFERROR($H48/(IF($K$4="Worker",$M$12,$M$13)/'List Values'!$D$15), "")</f>
        <v>2541.1934170507166</v>
      </c>
      <c r="N49" s="87">
        <f>IFERROR($H48/(IF($K$4="Worker",$M$12,$M$13)/'List Values'!$D$16), "")</f>
        <v>5082.3868341014331</v>
      </c>
      <c r="O49" s="87">
        <f>IFERROR($H48/(IF($K$4="Worker",$M$12,$M$13)/'List Values'!$D$17), "")</f>
        <v>101647.73668202867</v>
      </c>
      <c r="P49" s="107">
        <f>IFERROR($H48/(IF($K$4="Worker",$M$12,$M$13)/'List Values'!$D$18), "")</f>
        <v>1016477.3668202867</v>
      </c>
      <c r="Q49" s="107">
        <f>IFERROR(H48/$M$13,"")</f>
        <v>203.8906440514229</v>
      </c>
      <c r="R49" s="143"/>
      <c r="S49" s="599"/>
      <c r="T49" s="140" t="s">
        <v>92</v>
      </c>
      <c r="U49" s="302">
        <f>VLOOKUP(B48,'Health Data'!$F$6:$K$25,6,FALSE)</f>
        <v>10</v>
      </c>
      <c r="V49" s="70">
        <f>IFERROR($S48/W$11, "")</f>
        <v>32.846166275165032</v>
      </c>
      <c r="W49" s="70">
        <f>IFERROR($S48/W$13, "")</f>
        <v>164.23083137582518</v>
      </c>
      <c r="X49" s="70">
        <f>IFERROR($S48/W$15, "")</f>
        <v>328.46166275165035</v>
      </c>
      <c r="Y49" s="174">
        <f>IFERROR($S48/W$17, "")</f>
        <v>656.9233255033007</v>
      </c>
    </row>
    <row r="50" spans="1:27" s="31" customFormat="1" ht="12.75" customHeight="1" x14ac:dyDescent="0.35">
      <c r="B50" s="659" t="s">
        <v>137</v>
      </c>
      <c r="C50" s="693"/>
      <c r="D50" s="651" t="s">
        <v>190</v>
      </c>
      <c r="E50" s="658" t="s">
        <v>211</v>
      </c>
      <c r="F50" s="653" t="s">
        <v>212</v>
      </c>
      <c r="G50" s="142"/>
      <c r="H50" s="598">
        <f>IF(AND(ISNUMBER(VLOOKUP(B50,'Health Data'!$F$6:$H$25,2,FALSE)),$J$4=0.5),SUMIFS('Health Data'!$G$6:$G$25,'Health Data'!$F$6:$F$25,'RR &lt;PEL'!B50),IF(ISNUMBER(VLOOKUP(B50,'Health Data'!$F$6:$H$25,3,FALSE)),SUMIFS('Health Data'!$H$6:$H$25,'Health Data'!$F$6:$F$25,'RR &lt;PEL'!B50),SUMIFS('Health Data'!$G$6:$G$25,'Health Data'!$F$6:$F$25,'RR &lt;PEL'!B50)))</f>
        <v>1.7</v>
      </c>
      <c r="I50" s="141" t="s">
        <v>89</v>
      </c>
      <c r="J50" s="301">
        <f>VLOOKUP(B50,'Health Data'!$F$6:$K$25,6,FALSE)</f>
        <v>100</v>
      </c>
      <c r="K50" s="69">
        <f>IFERROR($H50/IF($K$4="Worker",$M$10,$M$11), "")</f>
        <v>2.6174093077237259</v>
      </c>
      <c r="L50" s="69">
        <f>IFERROR($H50/(IF($K$4="Worker",$M$10,$M$11)/'List Values'!$D$14), "")</f>
        <v>26.174093077237259</v>
      </c>
      <c r="M50" s="69">
        <f>IFERROR($H50/(IF($K$4="Worker",$M$10,$M$11)/'List Values'!$D$15), "")</f>
        <v>65.435232693093141</v>
      </c>
      <c r="N50" s="69">
        <f>IFERROR($H50/(IF($K$4="Worker",$M$10,$M$11)/'List Values'!$D$16), "")</f>
        <v>130.87046538618628</v>
      </c>
      <c r="O50" s="69">
        <f>IFERROR($H50/(IF($K$4="Worker",$M$10,$M$11)/'List Values'!$D$17), "")</f>
        <v>2617.4093077237258</v>
      </c>
      <c r="P50" s="93">
        <f>IFERROR($H50/(IF($K$4="Worker",$M$10,$M$11)/'List Values'!$D$18), "")</f>
        <v>26174.093077237259</v>
      </c>
      <c r="Q50" s="93">
        <f t="shared" ref="Q50" si="20">IFERROR(H50/$M$11,"")</f>
        <v>4.1385263573468549</v>
      </c>
      <c r="R50" s="110"/>
      <c r="S50" s="598">
        <f>IF(AND(ISNUMBER(VLOOKUP(B50,'Health Data'!$F$6:$J$25,4,FALSE)),$T$4=0.5),SUMIFS('Health Data'!$I$6:$I$25,'Health Data'!$F$6:$F$25,'RR &lt;PEL'!B50),IF(ISNUMBER(VLOOKUP(B50,'Health Data'!$F$6:$J$25,5,FALSE)),SUMIFS('Health Data'!$J$6:$J$25,'Health Data'!$F$6:$F$25,'RR &lt;PEL'!B50),"N/A"))</f>
        <v>2.5</v>
      </c>
      <c r="T50" s="141" t="s">
        <v>89</v>
      </c>
      <c r="U50" s="301">
        <f>VLOOKUP(B50,'Health Data'!$F$6:$K$25,6,FALSE)</f>
        <v>100</v>
      </c>
      <c r="V50" s="69">
        <f>IFERROR($S50/W$10, "")</f>
        <v>0.86079055938084847</v>
      </c>
      <c r="W50" s="69">
        <f>IFERROR($S50/W$12, "")</f>
        <v>4.3039527969042428</v>
      </c>
      <c r="X50" s="69">
        <f>IFERROR($S50/W$14, "")</f>
        <v>8.6079055938084856</v>
      </c>
      <c r="Y50" s="93">
        <f>IFERROR($S50/W$16, "")</f>
        <v>17.215811187616971</v>
      </c>
    </row>
    <row r="51" spans="1:27" s="31" customFormat="1" ht="13.5" customHeight="1" thickBot="1" x14ac:dyDescent="0.4">
      <c r="B51" s="659"/>
      <c r="C51" s="693"/>
      <c r="D51" s="651"/>
      <c r="E51" s="658"/>
      <c r="F51" s="653"/>
      <c r="G51" s="142"/>
      <c r="H51" s="599"/>
      <c r="I51" s="140" t="s">
        <v>106</v>
      </c>
      <c r="J51" s="302">
        <f>VLOOKUP(B50,'Health Data'!$F$6:$K$25,6,FALSE)</f>
        <v>100</v>
      </c>
      <c r="K51" s="298">
        <f>IFERROR($H50/IF($K$4="Worker",$M$12,$M$13), "")</f>
        <v>7.513093580845597</v>
      </c>
      <c r="L51" s="87">
        <f>IFERROR($H50/(IF($K$4="Worker",$M$12,$M$13)/('List Values'!$D$14)), "")</f>
        <v>75.130935808455973</v>
      </c>
      <c r="M51" s="87">
        <f>IFERROR($H50/(IF($K$4="Worker",$M$12,$M$13)/'List Values'!$D$15), "")</f>
        <v>187.82733952113992</v>
      </c>
      <c r="N51" s="87">
        <f>IFERROR($H50/(IF($K$4="Worker",$M$12,$M$13)/'List Values'!$D$16), "")</f>
        <v>375.65467904227984</v>
      </c>
      <c r="O51" s="87">
        <f>IFERROR($H50/(IF($K$4="Worker",$M$12,$M$13)/'List Values'!$D$17), "")</f>
        <v>7513.093580845597</v>
      </c>
      <c r="P51" s="107">
        <f>IFERROR($H50/(IF($K$4="Worker",$M$12,$M$13)/'List Values'!$D$18), "")</f>
        <v>75130.935808455964</v>
      </c>
      <c r="Q51" s="107">
        <f t="shared" ref="Q51" si="21">IFERROR(H50/$M$13,"")</f>
        <v>15.07017803858343</v>
      </c>
      <c r="R51" s="110"/>
      <c r="S51" s="599"/>
      <c r="T51" s="140" t="s">
        <v>92</v>
      </c>
      <c r="U51" s="302">
        <f>VLOOKUP(B50,'Health Data'!$F$6:$K$25,6,FALSE)</f>
        <v>100</v>
      </c>
      <c r="V51" s="70">
        <f>IFERROR($S50/W$11, "")</f>
        <v>2.9326934174254493</v>
      </c>
      <c r="W51" s="70">
        <f>IFERROR($S50/W$13, "")</f>
        <v>14.663467087127247</v>
      </c>
      <c r="X51" s="70">
        <f>IFERROR($S50/W$15, "")</f>
        <v>29.326934174254493</v>
      </c>
      <c r="Y51" s="174">
        <f>IFERROR($S50/W$17, "")</f>
        <v>58.653868348508986</v>
      </c>
    </row>
    <row r="52" spans="1:27" s="31" customFormat="1" ht="15" customHeight="1" x14ac:dyDescent="0.35">
      <c r="B52" s="659" t="s">
        <v>139</v>
      </c>
      <c r="C52" s="693"/>
      <c r="D52" s="651"/>
      <c r="E52" s="658" t="s">
        <v>213</v>
      </c>
      <c r="F52" s="653" t="s">
        <v>214</v>
      </c>
      <c r="G52" s="142"/>
      <c r="H52" s="598">
        <f>IF(AND(ISNUMBER(VLOOKUP(B52,'Health Data'!$F$6:$H$25,2,FALSE)),$J$4=0.5),SUMIFS('Health Data'!$G$6:$G$25,'Health Data'!$F$6:$F$25,'RR &lt;PEL'!B52),IF(ISNUMBER(VLOOKUP(B52,'Health Data'!$F$6:$H$25,3,FALSE)),SUMIFS('Health Data'!$H$6:$H$25,'Health Data'!$F$6:$F$25,'RR &lt;PEL'!B52),SUMIFS('Health Data'!$G$6:$G$25,'Health Data'!$F$6:$F$25,'RR &lt;PEL'!B52)))</f>
        <v>3.3000000000000002E-2</v>
      </c>
      <c r="I52" s="141" t="s">
        <v>89</v>
      </c>
      <c r="J52" s="301">
        <f>VLOOKUP(B52,'Health Data'!$F$6:$K$25,6,FALSE)</f>
        <v>30</v>
      </c>
      <c r="K52" s="69">
        <f>IFERROR($H52/IF($K$4="Worker",$M$10,$M$11), "")</f>
        <v>5.0808533620519389E-2</v>
      </c>
      <c r="L52" s="69">
        <f>IFERROR($H52/(IF($K$4="Worker",$M$10,$M$11)/'List Values'!$D$14), "")</f>
        <v>0.50808533620519392</v>
      </c>
      <c r="M52" s="69">
        <f>IFERROR($H52/(IF($K$4="Worker",$M$10,$M$11)/'List Values'!$D$15), "")</f>
        <v>1.2702133405129847</v>
      </c>
      <c r="N52" s="69">
        <f>IFERROR($H52/(IF($K$4="Worker",$M$10,$M$11)/'List Values'!$D$16), "")</f>
        <v>2.5404266810259695</v>
      </c>
      <c r="O52" s="69">
        <f>IFERROR($H52/(IF($K$4="Worker",$M$10,$M$11)/'List Values'!$D$17), "")</f>
        <v>50.808533620519391</v>
      </c>
      <c r="P52" s="93">
        <f>IFERROR($H52/(IF($K$4="Worker",$M$10,$M$11)/'List Values'!$D$18), "")</f>
        <v>508.08533620519387</v>
      </c>
      <c r="Q52" s="93">
        <f t="shared" ref="Q52" si="22">IFERROR(H52/$M$11,"")</f>
        <v>8.0336099877909545E-2</v>
      </c>
      <c r="R52" s="110"/>
      <c r="S52" s="598">
        <f>IF(AND(ISNUMBER(VLOOKUP(B52,'Health Data'!$F$6:$J$25,4,FALSE)),$T$4=0.5),SUMIFS('Health Data'!$I$6:$I$25,'Health Data'!$F$6:$F$25,'RR &lt;PEL'!B52),IF(ISNUMBER(VLOOKUP(B52,'Health Data'!$F$6:$J$25,5,FALSE)),SUMIFS('Health Data'!$J$6:$J$25,'Health Data'!$F$6:$F$25,'RR &lt;PEL'!B52),"N/A"))</f>
        <v>4.8000000000000001E-2</v>
      </c>
      <c r="T52" s="141" t="s">
        <v>89</v>
      </c>
      <c r="U52" s="301">
        <f>VLOOKUP(B52,'Health Data'!$F$6:$K$25,6,FALSE)</f>
        <v>30</v>
      </c>
      <c r="V52" s="69">
        <f>IFERROR($S52/W$10, "")</f>
        <v>1.6527178740112291E-2</v>
      </c>
      <c r="W52" s="69">
        <f>IFERROR($S52/W$12, "")</f>
        <v>8.2635893700561458E-2</v>
      </c>
      <c r="X52" s="69">
        <f>IFERROR($S52/W$14, "")</f>
        <v>0.16527178740112292</v>
      </c>
      <c r="Y52" s="93">
        <f>IFERROR($S52/W$16, "")</f>
        <v>0.33054357480224583</v>
      </c>
    </row>
    <row r="53" spans="1:27" s="31" customFormat="1" ht="21.75" customHeight="1" thickBot="1" x14ac:dyDescent="0.4">
      <c r="B53" s="659"/>
      <c r="C53" s="693"/>
      <c r="D53" s="651"/>
      <c r="E53" s="658"/>
      <c r="F53" s="653"/>
      <c r="G53" s="290"/>
      <c r="H53" s="599"/>
      <c r="I53" s="140" t="s">
        <v>106</v>
      </c>
      <c r="J53" s="302">
        <f>VLOOKUP(B52,'Health Data'!$F$6:$K$25,6,FALSE)</f>
        <v>30</v>
      </c>
      <c r="K53" s="286">
        <f>IFERROR($H52/IF($K$4="Worker",$M$12,$M$13), "")</f>
        <v>0.14584240480464983</v>
      </c>
      <c r="L53" s="286">
        <f>IFERROR($H52/(IF($K$4="Worker",$M$12,$M$13)/('List Values'!$D$14)), "")</f>
        <v>1.4584240480464983</v>
      </c>
      <c r="M53" s="286">
        <f>IFERROR($H52/(IF($K$4="Worker",$M$12,$M$13)/'List Values'!$D$15), "")</f>
        <v>3.6460601201162457</v>
      </c>
      <c r="N53" s="286">
        <f>IFERROR($H52/(IF($K$4="Worker",$M$12,$M$13)/'List Values'!$D$16), "")</f>
        <v>7.2921202402324914</v>
      </c>
      <c r="O53" s="286">
        <f>IFERROR($H52/(IF($K$4="Worker",$M$12,$M$13)/'List Values'!$D$17), "")</f>
        <v>145.84240480464985</v>
      </c>
      <c r="P53" s="300">
        <f>IFERROR($H52/(IF($K$4="Worker",$M$12,$M$13)/'List Values'!$D$18), "")</f>
        <v>1458.4240480464985</v>
      </c>
      <c r="Q53" s="107">
        <f t="shared" ref="Q53" si="23">IFERROR(H52/$M$13,"")</f>
        <v>0.29253875016073722</v>
      </c>
      <c r="R53" s="291"/>
      <c r="S53" s="599"/>
      <c r="T53" s="140" t="s">
        <v>92</v>
      </c>
      <c r="U53" s="302">
        <f>VLOOKUP(B52,'Health Data'!$F$6:$K$25,6,FALSE)</f>
        <v>30</v>
      </c>
      <c r="V53" s="70">
        <f>IFERROR($S52/W$11, "")</f>
        <v>5.6307713614568627E-2</v>
      </c>
      <c r="W53" s="70">
        <f>IFERROR($S52/W$13, "")</f>
        <v>0.28153856807284316</v>
      </c>
      <c r="X53" s="70">
        <f>IFERROR($S52/W$15, "")</f>
        <v>0.56307713614568633</v>
      </c>
      <c r="Y53" s="174">
        <f>IFERROR($S52/W$17, "")</f>
        <v>1.1261542722913727</v>
      </c>
    </row>
    <row r="54" spans="1:27" s="31" customFormat="1" ht="21.75" customHeight="1" thickBot="1" x14ac:dyDescent="0.4">
      <c r="B54" s="659" t="s">
        <v>215</v>
      </c>
      <c r="C54" s="693"/>
      <c r="D54" s="651"/>
      <c r="E54" s="688" t="s">
        <v>216</v>
      </c>
      <c r="F54" s="690" t="s">
        <v>214</v>
      </c>
      <c r="G54" s="142"/>
      <c r="H54" s="610">
        <f>IF(AND(ISNUMBER(FIND("12",H4)),$J$4=0.5),'Health Data'!$G$24,IF(AND(ISNUMBER(FIND("12",H4)),$J$4=0.99),'Health Data'!$H$24,IF(AND(ISERROR(FIND("12",H4)),$J$4=0.5),'Health Data'!$G$23,IF(AND(ISERROR(FIND("12",H4)),$J$4=0.99),'Health Data'!$H$23))))</f>
        <v>8.3000000000000004E-2</v>
      </c>
      <c r="I54" s="487" t="s">
        <v>89</v>
      </c>
      <c r="J54" s="488">
        <f>'Health Data'!K23</f>
        <v>30</v>
      </c>
      <c r="K54" s="69">
        <f>IFERROR($H54/IF($K$4="Worker",$N$10,$N$11), "")</f>
        <v>4.2597053439425346E-2</v>
      </c>
      <c r="L54" s="69">
        <f>IFERROR($H54/(IF($K$4="Worker",$N$10,$N$11)/'List Values'!$D$14), "")</f>
        <v>0.42597053439425347</v>
      </c>
      <c r="M54" s="69">
        <f>IFERROR($H54/(IF($K$4="Worker",$N$10,$N$11)/'List Values'!$D$15), "")</f>
        <v>1.0649263359856338</v>
      </c>
      <c r="N54" s="69">
        <f>IFERROR($H54/(IF($K$4="Worker",$N$10,$N$11)/'List Values'!$D$16), "")</f>
        <v>2.1298526719712676</v>
      </c>
      <c r="O54" s="69">
        <f>IFERROR($H54/(IF($K$4="Worker",$N$10,$N$11)/'List Values'!$D$17), "")</f>
        <v>42.597053439425345</v>
      </c>
      <c r="P54" s="93">
        <f>IFERROR($H54/(IF($K$4="Worker",$N$10,$N$11)/'List Values'!$D$18), "")</f>
        <v>425.97053439425343</v>
      </c>
      <c r="Q54" s="93">
        <f>IFERROR(H54/$N$11,"")</f>
        <v>6.7352487776429201E-2</v>
      </c>
      <c r="R54" s="110"/>
      <c r="S54" s="610">
        <f>IF(AND(ISNUMBER(FIND("12",$H$4)),$T$4=0.5),'Health Data'!I24,IF(AND(ISNUMBER(FIND("12",$H$4)),$T$4=0.99),'Health Data'!J24,IF(AND(ISERROR(FIND("12",$H$4)),$T$4=0.5),'Health Data'!I23,IF(AND(ISERROR(FIND("12",$H$4)),$T$4=0.99),'Health Data'!J23))))</f>
        <v>4.8000000000000001E-2</v>
      </c>
      <c r="T54" s="487" t="s">
        <v>89</v>
      </c>
      <c r="U54" s="488">
        <f>'Health Data'!K24</f>
        <v>30</v>
      </c>
      <c r="V54" s="69">
        <f>IFERROR($S54/W$10, "")</f>
        <v>1.6527178740112291E-2</v>
      </c>
      <c r="W54" s="69">
        <f>IFERROR($S54/W$12, "")</f>
        <v>8.2635893700561458E-2</v>
      </c>
      <c r="X54" s="69">
        <f>IFERROR($S54/W$14, "")</f>
        <v>0.16527178740112292</v>
      </c>
      <c r="Y54" s="93">
        <f>IFERROR($S54/W$16, "")</f>
        <v>0.33054357480224583</v>
      </c>
    </row>
    <row r="55" spans="1:27" s="31" customFormat="1" ht="21.75" customHeight="1" thickBot="1" x14ac:dyDescent="0.4">
      <c r="B55" s="659"/>
      <c r="C55" s="693"/>
      <c r="D55" s="664"/>
      <c r="E55" s="689"/>
      <c r="F55" s="691"/>
      <c r="G55" s="142"/>
      <c r="H55" s="611"/>
      <c r="I55" s="489" t="s">
        <v>106</v>
      </c>
      <c r="J55" s="488">
        <f>'Health Data'!K24</f>
        <v>30</v>
      </c>
      <c r="K55" s="286">
        <f>IFERROR($H54/IF($K$4="Worker",$N$12,$N$13), "")</f>
        <v>0.1222719151392519</v>
      </c>
      <c r="L55" s="286">
        <f>IFERROR($H54/(IF($K$4="Worker",$N$12,$N$13)/('List Values'!$D$14)), "")</f>
        <v>1.2227191513925189</v>
      </c>
      <c r="M55" s="286">
        <f>IFERROR($H54/(IF($K$4="Worker",$N$12,$N$13)/'List Values'!$D$15), "")</f>
        <v>3.0567978784812975</v>
      </c>
      <c r="N55" s="286">
        <f>IFERROR($H54/(IF($K$4="Worker",$N$12,$N$13)/'List Values'!$D$16), "")</f>
        <v>6.1135957569625949</v>
      </c>
      <c r="O55" s="286">
        <f>IFERROR($H54/(IF($K$4="Worker",$N$12,$N$13)/'List Values'!$D$17), "")</f>
        <v>122.27191513925189</v>
      </c>
      <c r="P55" s="300">
        <f>IFERROR($H54/(IF($K$4="Worker",$N$12,$N$13)/'List Values'!$D$18), "")</f>
        <v>1222.7191513925188</v>
      </c>
      <c r="Q55" s="107">
        <f>IFERROR(H54/$N$13,"")</f>
        <v>0.24525976023576954</v>
      </c>
      <c r="R55" s="110"/>
      <c r="S55" s="611"/>
      <c r="T55" s="489" t="s">
        <v>92</v>
      </c>
      <c r="U55" s="488">
        <f>'Health Data'!K24</f>
        <v>30</v>
      </c>
      <c r="V55" s="70">
        <f>IFERROR($S54/W$11, "")</f>
        <v>5.6307713614568627E-2</v>
      </c>
      <c r="W55" s="70">
        <f>IFERROR($S54/W$13, "")</f>
        <v>0.28153856807284316</v>
      </c>
      <c r="X55" s="70">
        <f>IFERROR($S54/W$15, "")</f>
        <v>0.56307713614568633</v>
      </c>
      <c r="Y55" s="174">
        <f>IFERROR($S54/W$17, "")</f>
        <v>1.1261542722913727</v>
      </c>
    </row>
    <row r="56" spans="1:27" s="31" customFormat="1" ht="15" customHeight="1" x14ac:dyDescent="0.35">
      <c r="B56" s="659" t="s">
        <v>152</v>
      </c>
      <c r="C56" s="662" t="s">
        <v>217</v>
      </c>
      <c r="D56" s="650" t="s">
        <v>218</v>
      </c>
      <c r="E56" s="665" t="s">
        <v>219</v>
      </c>
      <c r="F56" s="660" t="s">
        <v>220</v>
      </c>
      <c r="G56" s="142"/>
      <c r="H56" s="598">
        <f>VLOOKUP($B56,'Health Data'!$G$6:$M$28, 6)</f>
        <v>2.1999999999999999E-2</v>
      </c>
      <c r="I56" s="193" t="s">
        <v>89</v>
      </c>
      <c r="J56" s="383" t="s">
        <v>154</v>
      </c>
      <c r="K56" s="306">
        <f>IFERROR($H56*IF($K$4="Worker",$O$10,$O$11), "")</f>
        <v>5.7862409392873647E-3</v>
      </c>
      <c r="L56" s="69">
        <f>IFERROR($H56*(IF($K$4="Worker",$O$10,$O$11)/('List Values'!$D$14)), "")</f>
        <v>5.7862409392873645E-4</v>
      </c>
      <c r="M56" s="69">
        <f>IFERROR($H56*(IF($K$4="Worker",$O$10,$O$11)/('List Values'!$D$15)), "")</f>
        <v>2.3144963757149457E-4</v>
      </c>
      <c r="N56" s="69">
        <f>IFERROR($H56*(IF($K$4="Worker",$O$10,$O$11)/('List Values'!$D$16)), "")</f>
        <v>1.1572481878574728E-4</v>
      </c>
      <c r="O56" s="69">
        <f>IFERROR($H56*(IF($K$4="Worker",$O$10,$O$11)/('List Values'!$D$17)), "")</f>
        <v>5.7862409392873654E-6</v>
      </c>
      <c r="P56" s="93">
        <f>IFERROR($H56*(IF($K$4="Worker",$O$10,$O$11)/('List Values'!$D$18)), "")</f>
        <v>5.7862409392873648E-7</v>
      </c>
      <c r="Q56" s="93">
        <f>IF(IFERROR(H56*$O$13,"")=0,"",H56*$O$11)</f>
        <v>3.5865676455014862E-3</v>
      </c>
      <c r="R56" s="111"/>
      <c r="S56" s="598">
        <f>VLOOKUP($B56,'Health Data'!$G$6:$M$28, 7)</f>
        <v>4.6399999999999997E-2</v>
      </c>
      <c r="T56" s="193" t="s">
        <v>89</v>
      </c>
      <c r="U56" s="383" t="s">
        <v>154</v>
      </c>
      <c r="V56" s="69">
        <f>IFERROR($S56*$X10, "")</f>
        <v>6.9107611414752926E-2</v>
      </c>
      <c r="W56" s="69">
        <f>IFERROR($S56*$X12, "")</f>
        <v>1.3821522282950584E-2</v>
      </c>
      <c r="X56" s="69">
        <f>IFERROR($S56*$X14, "")</f>
        <v>6.9107611414752921E-3</v>
      </c>
      <c r="Y56" s="93">
        <f>IFERROR($S56*$X16, "")</f>
        <v>3.455380570737646E-3</v>
      </c>
    </row>
    <row r="57" spans="1:27" s="31" customFormat="1" ht="15" thickBot="1" x14ac:dyDescent="0.4">
      <c r="B57" s="659"/>
      <c r="C57" s="663"/>
      <c r="D57" s="664"/>
      <c r="E57" s="666"/>
      <c r="F57" s="661"/>
      <c r="G57" s="290"/>
      <c r="H57" s="599"/>
      <c r="I57" s="194" t="s">
        <v>92</v>
      </c>
      <c r="J57" s="384" t="s">
        <v>154</v>
      </c>
      <c r="K57" s="308">
        <f>IFERROR($H56*IF($K$4="Worker",$O$12,$O$13), "")</f>
        <v>1.8519958323732972E-3</v>
      </c>
      <c r="L57" s="70">
        <f>IFERROR($H56*(IF($K$4="Worker",$O$12,$O$13)/('List Values'!$D$14)), "")</f>
        <v>1.851995832373297E-4</v>
      </c>
      <c r="M57" s="70">
        <f>IFERROR($H56*(IF($K$4="Worker",$O$12,$O$13)/('List Values'!$D$15)), "")</f>
        <v>7.4079833294931884E-5</v>
      </c>
      <c r="N57" s="70">
        <f>IFERROR($H56*(IF($K$4="Worker",$O$12,$O$13)/('List Values'!$D$16)), "")</f>
        <v>3.7039916647465942E-5</v>
      </c>
      <c r="O57" s="70">
        <f>IFERROR($H56*(IF($K$4="Worker",$O$12,$O$13)/('List Values'!$D$17)), "")</f>
        <v>1.8519958323732973E-6</v>
      </c>
      <c r="P57" s="174">
        <f>IFERROR($H56*(IF($K$4="Worker",$O$12,$O$13)/('List Values'!$D$18)), "")</f>
        <v>1.8519958323732975E-7</v>
      </c>
      <c r="Q57" s="107">
        <f>IF(IFERROR(H56*$O$13,"")=0,"",H56*$O$13)</f>
        <v>9.3149349521191556E-4</v>
      </c>
      <c r="R57" s="112"/>
      <c r="S57" s="599"/>
      <c r="T57" s="194" t="s">
        <v>92</v>
      </c>
      <c r="U57" s="384" t="s">
        <v>154</v>
      </c>
      <c r="V57" s="70">
        <f>IFERROR($S56*$X11, "")</f>
        <v>1.5720212630693797E-2</v>
      </c>
      <c r="W57" s="70">
        <f>IFERROR($S56*$X13, "")</f>
        <v>3.144042526138759E-3</v>
      </c>
      <c r="X57" s="70">
        <f>IFERROR($S56*$X15, "")</f>
        <v>1.5720212630693795E-3</v>
      </c>
      <c r="Y57" s="174">
        <f>IFERROR($S56*$X17, "")</f>
        <v>7.8601063153468974E-4</v>
      </c>
    </row>
    <row r="58" spans="1:27" s="30" customFormat="1" x14ac:dyDescent="0.35">
      <c r="B58" s="31"/>
      <c r="C58" s="76"/>
      <c r="D58" s="121"/>
      <c r="E58" s="76"/>
      <c r="F58" s="76"/>
      <c r="G58" s="119"/>
      <c r="H58" s="119"/>
      <c r="I58" s="119"/>
      <c r="J58" s="119"/>
      <c r="K58" s="119"/>
      <c r="L58" s="119"/>
      <c r="M58" s="119"/>
      <c r="O58" s="119"/>
      <c r="P58" s="119"/>
      <c r="Q58" s="119"/>
      <c r="R58" s="119"/>
      <c r="S58" s="119"/>
    </row>
    <row r="59" spans="1:27" s="30" customFormat="1" x14ac:dyDescent="0.35">
      <c r="B59" s="120"/>
      <c r="C59" s="76"/>
      <c r="D59" s="121"/>
      <c r="E59" s="76"/>
      <c r="F59" s="76"/>
      <c r="G59" s="119"/>
      <c r="H59" s="119"/>
      <c r="I59" s="119"/>
      <c r="J59" s="119"/>
      <c r="K59" s="119"/>
      <c r="L59" s="119"/>
      <c r="M59" s="119"/>
      <c r="O59" s="119"/>
      <c r="P59" s="119"/>
      <c r="Q59" s="119"/>
      <c r="R59" s="119"/>
      <c r="S59" s="119"/>
      <c r="Z59" s="119"/>
      <c r="AA59" s="119"/>
    </row>
    <row r="60" spans="1:27" s="30" customFormat="1" x14ac:dyDescent="0.35">
      <c r="B60" s="120"/>
      <c r="C60" s="76"/>
      <c r="D60" s="121"/>
      <c r="E60" s="76"/>
      <c r="F60" s="76"/>
      <c r="G60" s="119"/>
      <c r="H60" s="119"/>
      <c r="I60" s="119"/>
      <c r="J60" s="119"/>
      <c r="K60" s="119"/>
      <c r="L60" s="119"/>
      <c r="M60" s="119"/>
      <c r="O60" s="119"/>
      <c r="P60" s="119"/>
      <c r="Q60" s="119"/>
      <c r="R60" s="119"/>
      <c r="S60" s="119"/>
      <c r="T60" s="119"/>
    </row>
    <row r="61" spans="1:27" s="30" customFormat="1" x14ac:dyDescent="0.35">
      <c r="B61" s="120"/>
      <c r="C61" s="76"/>
      <c r="D61" s="121"/>
      <c r="E61" s="76"/>
      <c r="F61" s="76"/>
      <c r="G61" s="119"/>
      <c r="H61" s="119"/>
      <c r="I61" s="119"/>
      <c r="J61" s="119"/>
      <c r="K61" s="119"/>
      <c r="L61" s="119"/>
      <c r="M61" s="119"/>
      <c r="N61" s="119"/>
      <c r="O61" s="119"/>
      <c r="P61" s="119"/>
      <c r="Q61" s="119"/>
      <c r="R61" s="119"/>
      <c r="S61" s="119"/>
      <c r="T61" s="119"/>
    </row>
    <row r="62" spans="1:27" s="30" customFormat="1" x14ac:dyDescent="0.35">
      <c r="B62" s="120"/>
      <c r="C62" s="76"/>
      <c r="D62" s="121"/>
      <c r="E62" s="76"/>
      <c r="F62" s="76"/>
      <c r="G62" s="119"/>
      <c r="H62" s="119"/>
      <c r="I62" s="119"/>
      <c r="J62" s="119"/>
      <c r="K62" s="119"/>
      <c r="L62" s="119"/>
      <c r="M62" s="119"/>
      <c r="N62" s="119"/>
      <c r="O62" s="119"/>
      <c r="P62" s="119"/>
      <c r="Q62" s="119"/>
      <c r="R62" s="119"/>
      <c r="S62" s="119"/>
      <c r="T62" s="119"/>
      <c r="U62" s="119"/>
      <c r="V62" s="119"/>
      <c r="W62" s="119"/>
      <c r="X62" s="119"/>
      <c r="Y62" s="119"/>
    </row>
    <row r="63" spans="1:27" s="30" customFormat="1" x14ac:dyDescent="0.35">
      <c r="A63" s="119"/>
      <c r="B63" s="120"/>
      <c r="C63" s="76"/>
      <c r="D63" s="121"/>
      <c r="E63" s="76"/>
      <c r="F63" s="76"/>
      <c r="G63" s="119"/>
      <c r="H63" s="119"/>
      <c r="I63" s="119"/>
      <c r="J63" s="119"/>
      <c r="K63" s="119"/>
      <c r="L63" s="119"/>
      <c r="M63" s="119"/>
      <c r="N63" s="119"/>
      <c r="O63" s="119"/>
      <c r="P63" s="119"/>
      <c r="Q63" s="119"/>
      <c r="R63" s="119"/>
      <c r="S63" s="119"/>
      <c r="T63" s="119"/>
      <c r="U63" s="119"/>
      <c r="V63" s="119"/>
      <c r="W63" s="119"/>
      <c r="X63" s="119"/>
      <c r="Y63" s="119"/>
    </row>
    <row r="68" spans="2:25" x14ac:dyDescent="0.35">
      <c r="I68" s="30"/>
      <c r="J68" s="30"/>
      <c r="K68" s="30"/>
      <c r="L68" s="30"/>
      <c r="M68" s="30"/>
    </row>
    <row r="73" spans="2:25" x14ac:dyDescent="0.35">
      <c r="O73" s="30"/>
      <c r="P73" s="30"/>
      <c r="Q73" s="30"/>
      <c r="R73" s="30"/>
      <c r="S73" s="30"/>
    </row>
    <row r="74" spans="2:25" x14ac:dyDescent="0.35">
      <c r="C74" s="73"/>
      <c r="D74" s="565"/>
      <c r="E74" s="73"/>
      <c r="F74" s="73"/>
      <c r="G74" s="30"/>
      <c r="H74" s="30"/>
    </row>
    <row r="76" spans="2:25" x14ac:dyDescent="0.35">
      <c r="B76" s="31"/>
    </row>
    <row r="77" spans="2:25" x14ac:dyDescent="0.35">
      <c r="B77" s="145"/>
      <c r="T77" s="30"/>
    </row>
    <row r="78" spans="2:25" x14ac:dyDescent="0.35">
      <c r="B78" s="145"/>
      <c r="I78" s="146"/>
      <c r="J78" s="146"/>
      <c r="K78" s="146"/>
      <c r="L78" s="146"/>
      <c r="M78" s="146"/>
      <c r="N78" s="30"/>
    </row>
    <row r="79" spans="2:25" x14ac:dyDescent="0.35">
      <c r="B79" s="145"/>
      <c r="I79" s="146"/>
      <c r="J79" s="146"/>
      <c r="K79" s="146"/>
      <c r="L79" s="146"/>
      <c r="M79" s="146"/>
      <c r="U79" s="30"/>
      <c r="V79" s="30"/>
      <c r="W79" s="30"/>
      <c r="X79" s="30"/>
      <c r="Y79" s="30"/>
    </row>
    <row r="80" spans="2:25" x14ac:dyDescent="0.35">
      <c r="B80" s="145"/>
      <c r="C80" s="148"/>
      <c r="D80" s="149"/>
      <c r="E80" s="148"/>
      <c r="S80" s="147"/>
      <c r="T80" s="147"/>
      <c r="U80" s="147"/>
    </row>
    <row r="81" spans="1:25" s="30" customFormat="1" ht="26" x14ac:dyDescent="0.35">
      <c r="A81" s="119"/>
      <c r="B81" s="145"/>
      <c r="C81" s="76"/>
      <c r="D81" s="121"/>
      <c r="E81" s="148"/>
      <c r="F81" s="146"/>
      <c r="G81" s="147"/>
      <c r="H81" s="180" t="s">
        <v>155</v>
      </c>
      <c r="I81" s="150" t="str">
        <f>I56</f>
        <v>High End</v>
      </c>
      <c r="J81" s="150" t="str">
        <f>I57</f>
        <v>Central Tendency</v>
      </c>
      <c r="K81" s="119"/>
      <c r="L81" s="119"/>
      <c r="M81" s="119"/>
      <c r="N81" s="119"/>
      <c r="O81" s="119"/>
      <c r="P81" s="119"/>
      <c r="Q81" s="119"/>
      <c r="R81" s="119"/>
      <c r="S81" s="195" t="s">
        <v>157</v>
      </c>
      <c r="T81" s="150" t="str">
        <f>T56</f>
        <v>High End</v>
      </c>
      <c r="U81" s="150" t="str">
        <f>T57</f>
        <v>Central Tendency</v>
      </c>
      <c r="V81" s="119"/>
      <c r="W81" s="119"/>
      <c r="X81" s="119"/>
      <c r="Y81" s="119"/>
    </row>
    <row r="82" spans="1:25" x14ac:dyDescent="0.35">
      <c r="H82" s="559" t="s">
        <v>173</v>
      </c>
      <c r="I82" s="151">
        <f>K56</f>
        <v>5.7862409392873647E-3</v>
      </c>
      <c r="J82" s="151">
        <f>K57</f>
        <v>1.8519958323732972E-3</v>
      </c>
      <c r="S82" s="95" t="s">
        <v>222</v>
      </c>
      <c r="T82" s="151">
        <f>V56</f>
        <v>6.9107611414752926E-2</v>
      </c>
      <c r="U82" s="151">
        <f>V57</f>
        <v>1.5720212630693797E-2</v>
      </c>
    </row>
    <row r="83" spans="1:25" x14ac:dyDescent="0.35">
      <c r="H83" s="559" t="s">
        <v>174</v>
      </c>
      <c r="I83" s="151">
        <f>L56</f>
        <v>5.7862409392873645E-4</v>
      </c>
      <c r="J83" s="151">
        <f>L57</f>
        <v>1.851995832373297E-4</v>
      </c>
      <c r="S83" s="95" t="s">
        <v>223</v>
      </c>
      <c r="T83" s="151">
        <f>W56</f>
        <v>1.3821522282950584E-2</v>
      </c>
      <c r="U83" s="151">
        <f>W57</f>
        <v>3.144042526138759E-3</v>
      </c>
    </row>
    <row r="84" spans="1:25" ht="26" x14ac:dyDescent="0.35">
      <c r="H84" s="559" t="s">
        <v>175</v>
      </c>
      <c r="I84" s="151">
        <f>M56</f>
        <v>2.3144963757149457E-4</v>
      </c>
      <c r="J84" s="151">
        <f>M57</f>
        <v>7.4079833294931884E-5</v>
      </c>
      <c r="S84" s="95" t="s">
        <v>224</v>
      </c>
      <c r="T84" s="151">
        <f>X56</f>
        <v>6.9107611414752921E-3</v>
      </c>
      <c r="U84" s="151">
        <f>X57</f>
        <v>1.5720212630693795E-3</v>
      </c>
    </row>
    <row r="85" spans="1:25" ht="26" x14ac:dyDescent="0.35">
      <c r="A85" s="119" t="s">
        <v>225</v>
      </c>
      <c r="H85" s="559" t="s">
        <v>176</v>
      </c>
      <c r="I85" s="151">
        <f>N56</f>
        <v>1.1572481878574728E-4</v>
      </c>
      <c r="J85" s="151">
        <f>N57</f>
        <v>3.7039916647465942E-5</v>
      </c>
      <c r="S85" s="95" t="s">
        <v>226</v>
      </c>
      <c r="T85" s="151">
        <f>Y56</f>
        <v>3.455380570737646E-3</v>
      </c>
      <c r="U85" s="151">
        <f>Y57</f>
        <v>7.8601063153468974E-4</v>
      </c>
    </row>
    <row r="86" spans="1:25" x14ac:dyDescent="0.35">
      <c r="H86" s="559" t="s">
        <v>177</v>
      </c>
      <c r="I86" s="151">
        <f>O56</f>
        <v>5.7862409392873654E-6</v>
      </c>
      <c r="J86" s="151">
        <f>O57</f>
        <v>1.8519958323732973E-6</v>
      </c>
      <c r="U86" s="152"/>
    </row>
    <row r="87" spans="1:25" x14ac:dyDescent="0.35">
      <c r="H87" s="559" t="s">
        <v>178</v>
      </c>
      <c r="I87" s="151">
        <f>P56</f>
        <v>5.7862409392873648E-7</v>
      </c>
      <c r="J87" s="151">
        <f>P57</f>
        <v>1.8519958323732975E-7</v>
      </c>
    </row>
  </sheetData>
  <sheetProtection algorithmName="SHA-512" hashValue="04xJEqdjh0HDZuNFJviz+dZwBBgm58gglzxUzastodPhrHsXkMdYwp40xTGSIYScEnpTjx8pd/gON2OCqBJftA==" saltValue="/QCwK1/FzGGi3ns/C/+1pg==" spinCount="100000" sheet="1" objects="1" scenarios="1"/>
  <dataConsolidate link="1"/>
  <mergeCells count="127">
    <mergeCell ref="S30:S31"/>
    <mergeCell ref="B30:B31"/>
    <mergeCell ref="E30:E31"/>
    <mergeCell ref="F30:F31"/>
    <mergeCell ref="C32:C55"/>
    <mergeCell ref="D44:D49"/>
    <mergeCell ref="D50:D55"/>
    <mergeCell ref="B54:B55"/>
    <mergeCell ref="E54:E55"/>
    <mergeCell ref="F54:F55"/>
    <mergeCell ref="B48:B49"/>
    <mergeCell ref="E48:E49"/>
    <mergeCell ref="F48:F49"/>
    <mergeCell ref="H48:H49"/>
    <mergeCell ref="S48:S49"/>
    <mergeCell ref="B50:B51"/>
    <mergeCell ref="E50:E51"/>
    <mergeCell ref="B44:B45"/>
    <mergeCell ref="E44:E45"/>
    <mergeCell ref="F44:F45"/>
    <mergeCell ref="H44:H45"/>
    <mergeCell ref="S44:S45"/>
    <mergeCell ref="B46:B47"/>
    <mergeCell ref="E46:E47"/>
    <mergeCell ref="S56:S57"/>
    <mergeCell ref="B56:B57"/>
    <mergeCell ref="C56:C57"/>
    <mergeCell ref="D56:D57"/>
    <mergeCell ref="E56:E57"/>
    <mergeCell ref="F56:F57"/>
    <mergeCell ref="H56:H57"/>
    <mergeCell ref="F50:F51"/>
    <mergeCell ref="H50:H51"/>
    <mergeCell ref="S50:S51"/>
    <mergeCell ref="B52:B53"/>
    <mergeCell ref="E52:E53"/>
    <mergeCell ref="F52:F53"/>
    <mergeCell ref="H52:H53"/>
    <mergeCell ref="S52:S53"/>
    <mergeCell ref="H54:H55"/>
    <mergeCell ref="S54:S55"/>
    <mergeCell ref="F46:F47"/>
    <mergeCell ref="H46:H47"/>
    <mergeCell ref="S46:S47"/>
    <mergeCell ref="E36:E37"/>
    <mergeCell ref="F36:F37"/>
    <mergeCell ref="B40:B41"/>
    <mergeCell ref="D40:D43"/>
    <mergeCell ref="E40:E41"/>
    <mergeCell ref="F40:F41"/>
    <mergeCell ref="H40:H41"/>
    <mergeCell ref="S40:S41"/>
    <mergeCell ref="B42:B43"/>
    <mergeCell ref="E42:E43"/>
    <mergeCell ref="F42:F43"/>
    <mergeCell ref="H42:H43"/>
    <mergeCell ref="S42:S43"/>
    <mergeCell ref="H26:H27"/>
    <mergeCell ref="S26:S27"/>
    <mergeCell ref="H36:H37"/>
    <mergeCell ref="S36:S37"/>
    <mergeCell ref="B38:B39"/>
    <mergeCell ref="E38:E39"/>
    <mergeCell ref="F38:F39"/>
    <mergeCell ref="H38:H39"/>
    <mergeCell ref="S38:S39"/>
    <mergeCell ref="S32:S33"/>
    <mergeCell ref="B34:B35"/>
    <mergeCell ref="D34:D35"/>
    <mergeCell ref="E34:E35"/>
    <mergeCell ref="F34:F35"/>
    <mergeCell ref="H34:H35"/>
    <mergeCell ref="S34:S35"/>
    <mergeCell ref="B32:B33"/>
    <mergeCell ref="D32:D33"/>
    <mergeCell ref="E32:E33"/>
    <mergeCell ref="F32:F33"/>
    <mergeCell ref="H32:H33"/>
    <mergeCell ref="B36:B37"/>
    <mergeCell ref="D36:D39"/>
    <mergeCell ref="H30:H31"/>
    <mergeCell ref="T20:T21"/>
    <mergeCell ref="U20:U21"/>
    <mergeCell ref="V20:Y20"/>
    <mergeCell ref="B22:B23"/>
    <mergeCell ref="C22:C29"/>
    <mergeCell ref="D22:D27"/>
    <mergeCell ref="E22:E23"/>
    <mergeCell ref="F22:F23"/>
    <mergeCell ref="H22:H23"/>
    <mergeCell ref="S22:S23"/>
    <mergeCell ref="B28:B29"/>
    <mergeCell ref="D28:D29"/>
    <mergeCell ref="E28:E29"/>
    <mergeCell ref="F28:F29"/>
    <mergeCell ref="H28:H29"/>
    <mergeCell ref="S28:S29"/>
    <mergeCell ref="B24:B25"/>
    <mergeCell ref="E24:E25"/>
    <mergeCell ref="F24:F25"/>
    <mergeCell ref="H24:H25"/>
    <mergeCell ref="S24:S25"/>
    <mergeCell ref="B26:B27"/>
    <mergeCell ref="E26:E27"/>
    <mergeCell ref="F26:F27"/>
    <mergeCell ref="L19:M19"/>
    <mergeCell ref="C20:C21"/>
    <mergeCell ref="D20:E21"/>
    <mergeCell ref="F20:F21"/>
    <mergeCell ref="H20:H21"/>
    <mergeCell ref="I20:I21"/>
    <mergeCell ref="J20:J21"/>
    <mergeCell ref="K20:P20"/>
    <mergeCell ref="S20:S21"/>
    <mergeCell ref="I10:I11"/>
    <mergeCell ref="S10:S11"/>
    <mergeCell ref="I12:I13"/>
    <mergeCell ref="S12:S13"/>
    <mergeCell ref="S14:S15"/>
    <mergeCell ref="S16:S17"/>
    <mergeCell ref="C1:Z1"/>
    <mergeCell ref="I2:K2"/>
    <mergeCell ref="S2:T2"/>
    <mergeCell ref="H8:H9"/>
    <mergeCell ref="I8:I9"/>
    <mergeCell ref="S8:S9"/>
    <mergeCell ref="T8:T9"/>
  </mergeCells>
  <conditionalFormatting sqref="K20 V22:Y55">
    <cfRule type="containsBlanks" dxfId="218" priority="152" stopIfTrue="1">
      <formula>LEN(TRIM(K20))=0</formula>
    </cfRule>
  </conditionalFormatting>
  <conditionalFormatting sqref="V22:Y57">
    <cfRule type="cellIs" dxfId="217" priority="130" operator="between">
      <formula>1</formula>
      <formula>0.1</formula>
    </cfRule>
    <cfRule type="cellIs" dxfId="216" priority="131" operator="lessThanOrEqual">
      <formula>0.1</formula>
    </cfRule>
    <cfRule type="cellIs" dxfId="215" priority="132" operator="greaterThanOrEqual">
      <formula>1</formula>
    </cfRule>
  </conditionalFormatting>
  <conditionalFormatting sqref="V56:Y57">
    <cfRule type="cellIs" dxfId="214" priority="128" operator="greaterThanOrEqual">
      <formula>0.0001</formula>
    </cfRule>
    <cfRule type="cellIs" dxfId="213" priority="129" operator="lessThanOrEqual">
      <formula>0.0001</formula>
    </cfRule>
  </conditionalFormatting>
  <conditionalFormatting sqref="V22:Y55">
    <cfRule type="cellIs" dxfId="212" priority="133" operator="greaterThanOrEqual">
      <formula>$U22</formula>
    </cfRule>
    <cfRule type="cellIs" dxfId="211" priority="134" operator="lessThan">
      <formula>$U22</formula>
    </cfRule>
  </conditionalFormatting>
  <conditionalFormatting sqref="U10:X17">
    <cfRule type="cellIs" dxfId="210" priority="106" operator="between">
      <formula>1</formula>
      <formula>0.1</formula>
    </cfRule>
    <cfRule type="cellIs" dxfId="209" priority="107" operator="lessThanOrEqual">
      <formula>0.1</formula>
    </cfRule>
    <cfRule type="cellIs" dxfId="208" priority="108" operator="greaterThanOrEqual">
      <formula>1</formula>
    </cfRule>
  </conditionalFormatting>
  <conditionalFormatting sqref="H22:H23">
    <cfRule type="cellIs" dxfId="207" priority="78" operator="between">
      <formula>1</formula>
      <formula>0.01</formula>
    </cfRule>
    <cfRule type="containsBlanks" dxfId="206" priority="79" stopIfTrue="1">
      <formula>LEN(TRIM(H22))=0</formula>
    </cfRule>
    <cfRule type="cellIs" dxfId="205" priority="80" operator="lessThanOrEqual">
      <formula>0.1</formula>
    </cfRule>
    <cfRule type="cellIs" dxfId="204" priority="81" operator="greaterThanOrEqual">
      <formula>1</formula>
    </cfRule>
  </conditionalFormatting>
  <conditionalFormatting sqref="H24:H29 H32:H53 H56:H57">
    <cfRule type="containsBlanks" dxfId="203" priority="74" stopIfTrue="1">
      <formula>LEN(TRIM(H24))=0</formula>
    </cfRule>
    <cfRule type="cellIs" dxfId="202" priority="75" operator="lessThanOrEqual">
      <formula>0.1</formula>
    </cfRule>
    <cfRule type="cellIs" dxfId="201" priority="76" operator="greaterThanOrEqual">
      <formula>1</formula>
    </cfRule>
    <cfRule type="cellIs" dxfId="200" priority="77" operator="between">
      <formula>1</formula>
      <formula>0.01</formula>
    </cfRule>
  </conditionalFormatting>
  <conditionalFormatting sqref="S22:S23">
    <cfRule type="cellIs" dxfId="199" priority="86" operator="between">
      <formula>1</formula>
      <formula>0.01</formula>
    </cfRule>
    <cfRule type="containsBlanks" dxfId="198" priority="87" stopIfTrue="1">
      <formula>LEN(TRIM(S22))=0</formula>
    </cfRule>
    <cfRule type="cellIs" dxfId="197" priority="88" operator="lessThanOrEqual">
      <formula>0.1</formula>
    </cfRule>
    <cfRule type="cellIs" dxfId="196" priority="89" operator="greaterThanOrEqual">
      <formula>1</formula>
    </cfRule>
  </conditionalFormatting>
  <conditionalFormatting sqref="S24:S29 S32:S53 S56:S57">
    <cfRule type="containsBlanks" dxfId="195" priority="82" stopIfTrue="1">
      <formula>LEN(TRIM(S24))=0</formula>
    </cfRule>
    <cfRule type="cellIs" dxfId="194" priority="83" operator="lessThanOrEqual">
      <formula>0.1</formula>
    </cfRule>
    <cfRule type="cellIs" dxfId="193" priority="84" operator="greaterThanOrEqual">
      <formula>1</formula>
    </cfRule>
    <cfRule type="cellIs" dxfId="192" priority="85" operator="between">
      <formula>1</formula>
      <formula>0.01</formula>
    </cfRule>
  </conditionalFormatting>
  <conditionalFormatting sqref="Q22:Q57">
    <cfRule type="containsBlanks" dxfId="191" priority="23" stopIfTrue="1">
      <formula>LEN(TRIM(Q22))=0</formula>
    </cfRule>
  </conditionalFormatting>
  <conditionalFormatting sqref="J10:K13 M10:O13">
    <cfRule type="cellIs" priority="45" stopIfTrue="1" operator="equal">
      <formula>0</formula>
    </cfRule>
  </conditionalFormatting>
  <conditionalFormatting sqref="J10:K13 M10:O13">
    <cfRule type="cellIs" dxfId="190" priority="46" operator="between">
      <formula>1</formula>
      <formula>0.01</formula>
    </cfRule>
    <cfRule type="containsBlanks" dxfId="189" priority="47" stopIfTrue="1">
      <formula>LEN(TRIM(J10))=0</formula>
    </cfRule>
    <cfRule type="cellIs" dxfId="188" priority="48" operator="lessThanOrEqual">
      <formula>0.1</formula>
    </cfRule>
    <cfRule type="cellIs" dxfId="187" priority="49" operator="greaterThanOrEqual">
      <formula>1</formula>
    </cfRule>
  </conditionalFormatting>
  <conditionalFormatting sqref="L10:L13">
    <cfRule type="cellIs" priority="40" stopIfTrue="1" operator="equal">
      <formula>0</formula>
    </cfRule>
  </conditionalFormatting>
  <conditionalFormatting sqref="L10:L13">
    <cfRule type="cellIs" dxfId="186" priority="41" operator="between">
      <formula>1</formula>
      <formula>0.01</formula>
    </cfRule>
    <cfRule type="containsBlanks" dxfId="185" priority="42" stopIfTrue="1">
      <formula>LEN(TRIM(L10))=0</formula>
    </cfRule>
    <cfRule type="cellIs" dxfId="184" priority="43" operator="lessThanOrEqual">
      <formula>0.1</formula>
    </cfRule>
    <cfRule type="cellIs" dxfId="183" priority="44" operator="greaterThanOrEqual">
      <formula>1</formula>
    </cfRule>
  </conditionalFormatting>
  <conditionalFormatting sqref="K22:P29 K32:P57">
    <cfRule type="cellIs" dxfId="182" priority="35" operator="between">
      <formula>1</formula>
      <formula>0.1</formula>
    </cfRule>
    <cfRule type="cellIs" dxfId="181" priority="36" operator="lessThanOrEqual">
      <formula>0.1</formula>
    </cfRule>
    <cfRule type="cellIs" dxfId="180" priority="37" operator="greaterThanOrEqual">
      <formula>1</formula>
    </cfRule>
  </conditionalFormatting>
  <conditionalFormatting sqref="K56:K57">
    <cfRule type="containsBlanks" dxfId="179" priority="32" stopIfTrue="1">
      <formula>LEN(TRIM(K56))=0</formula>
    </cfRule>
  </conditionalFormatting>
  <conditionalFormatting sqref="K56:P57">
    <cfRule type="cellIs" dxfId="178" priority="33" operator="greaterThanOrEqual">
      <formula>0.0001</formula>
    </cfRule>
    <cfRule type="cellIs" dxfId="177" priority="34" operator="lessThanOrEqual">
      <formula>0.0001</formula>
    </cfRule>
  </conditionalFormatting>
  <conditionalFormatting sqref="K22:P29 K32:P55">
    <cfRule type="containsBlanks" dxfId="176" priority="31" stopIfTrue="1">
      <formula>LEN(TRIM(K22))=0</formula>
    </cfRule>
  </conditionalFormatting>
  <conditionalFormatting sqref="K22:P29 K32:P55">
    <cfRule type="cellIs" dxfId="175" priority="38" operator="lessThan">
      <formula>$J22</formula>
    </cfRule>
    <cfRule type="cellIs" dxfId="174" priority="39" operator="greaterThanOrEqual">
      <formula>$J22</formula>
    </cfRule>
  </conditionalFormatting>
  <conditionalFormatting sqref="Q22:Q57">
    <cfRule type="cellIs" dxfId="173" priority="26" operator="between">
      <formula>1</formula>
      <formula>0.1</formula>
    </cfRule>
    <cfRule type="cellIs" dxfId="172" priority="27" operator="lessThanOrEqual">
      <formula>0.1</formula>
    </cfRule>
    <cfRule type="cellIs" dxfId="171" priority="28" operator="greaterThanOrEqual">
      <formula>1</formula>
    </cfRule>
  </conditionalFormatting>
  <conditionalFormatting sqref="Q56:Q57">
    <cfRule type="cellIs" dxfId="170" priority="24" operator="greaterThanOrEqual">
      <formula>0.0001</formula>
    </cfRule>
    <cfRule type="cellIs" dxfId="169" priority="25" operator="lessThanOrEqual">
      <formula>0.0001</formula>
    </cfRule>
  </conditionalFormatting>
  <conditionalFormatting sqref="Q22:Q57">
    <cfRule type="cellIs" dxfId="168" priority="29" operator="lessThan">
      <formula>$J22</formula>
    </cfRule>
    <cfRule type="cellIs" dxfId="167" priority="30" operator="greaterThanOrEqual">
      <formula>$J22</formula>
    </cfRule>
  </conditionalFormatting>
  <conditionalFormatting sqref="H30:H31">
    <cfRule type="containsBlanks" dxfId="166" priority="19" stopIfTrue="1">
      <formula>LEN(TRIM(H30))=0</formula>
    </cfRule>
    <cfRule type="cellIs" dxfId="165" priority="20" operator="lessThanOrEqual">
      <formula>0.1</formula>
    </cfRule>
    <cfRule type="cellIs" dxfId="164" priority="21" operator="greaterThanOrEqual">
      <formula>1</formula>
    </cfRule>
    <cfRule type="cellIs" dxfId="163" priority="22" operator="between">
      <formula>1</formula>
      <formula>0.01</formula>
    </cfRule>
  </conditionalFormatting>
  <conditionalFormatting sqref="H54:H55">
    <cfRule type="containsBlanks" dxfId="162" priority="15" stopIfTrue="1">
      <formula>LEN(TRIM(H54))=0</formula>
    </cfRule>
    <cfRule type="cellIs" dxfId="161" priority="16" operator="lessThanOrEqual">
      <formula>0.1</formula>
    </cfRule>
    <cfRule type="cellIs" dxfId="160" priority="17" operator="greaterThanOrEqual">
      <formula>1</formula>
    </cfRule>
    <cfRule type="cellIs" dxfId="159" priority="18" operator="between">
      <formula>1</formula>
      <formula>0.01</formula>
    </cfRule>
  </conditionalFormatting>
  <conditionalFormatting sqref="S30:S31">
    <cfRule type="containsBlanks" dxfId="158" priority="11" stopIfTrue="1">
      <formula>LEN(TRIM(S30))=0</formula>
    </cfRule>
    <cfRule type="cellIs" dxfId="157" priority="12" operator="lessThanOrEqual">
      <formula>0.1</formula>
    </cfRule>
    <cfRule type="cellIs" dxfId="156" priority="13" operator="greaterThanOrEqual">
      <formula>1</formula>
    </cfRule>
    <cfRule type="cellIs" dxfId="155" priority="14" operator="between">
      <formula>1</formula>
      <formula>0.01</formula>
    </cfRule>
  </conditionalFormatting>
  <conditionalFormatting sqref="S54:S55">
    <cfRule type="containsBlanks" dxfId="154" priority="7" stopIfTrue="1">
      <formula>LEN(TRIM(S54))=0</formula>
    </cfRule>
    <cfRule type="cellIs" dxfId="153" priority="8" operator="lessThanOrEqual">
      <formula>0.1</formula>
    </cfRule>
    <cfRule type="cellIs" dxfId="152" priority="9" operator="greaterThanOrEqual">
      <formula>1</formula>
    </cfRule>
    <cfRule type="cellIs" dxfId="151" priority="10" operator="between">
      <formula>1</formula>
      <formula>0.01</formula>
    </cfRule>
  </conditionalFormatting>
  <conditionalFormatting sqref="K30:P31">
    <cfRule type="cellIs" dxfId="150" priority="4" operator="between">
      <formula>1</formula>
      <formula>0.1</formula>
    </cfRule>
    <cfRule type="cellIs" dxfId="149" priority="4" operator="lessThanOrEqual">
      <formula>0.1</formula>
    </cfRule>
    <cfRule type="cellIs" dxfId="148" priority="4" operator="greaterThanOrEqual">
      <formula>1</formula>
    </cfRule>
  </conditionalFormatting>
  <conditionalFormatting sqref="K30:P31">
    <cfRule type="containsBlanks" dxfId="147" priority="3" stopIfTrue="1">
      <formula>LEN(TRIM(K30))=0</formula>
    </cfRule>
  </conditionalFormatting>
  <conditionalFormatting sqref="K30:P31">
    <cfRule type="cellIs" dxfId="146" priority="5" operator="lessThan">
      <formula>$J30</formula>
    </cfRule>
    <cfRule type="cellIs" dxfId="145" priority="6" operator="greaterThanOrEqual">
      <formula>$J30</formula>
    </cfRule>
  </conditionalFormatting>
  <dataValidations count="1">
    <dataValidation allowBlank="1" showErrorMessage="1" sqref="S8 H8 H12:H13 U8:U9 J8:J9" xr:uid="{F6A87A69-7EA9-409B-AB33-2380ACC57A12}"/>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29DEAB-4D3E-40FD-9FAD-08D11A7CAA95}">
          <x14:formula1>
            <xm:f>'List Values'!$F$7:$F$8</xm:f>
          </x14:formula1>
          <xm:sqref>K4:L4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26"/>
  <sheetViews>
    <sheetView topLeftCell="A2" zoomScale="80" zoomScaleNormal="80" workbookViewId="0">
      <selection activeCell="N8" sqref="N8"/>
    </sheetView>
  </sheetViews>
  <sheetFormatPr defaultColWidth="8.81640625" defaultRowHeight="14.5" x14ac:dyDescent="0.35"/>
  <cols>
    <col min="1" max="1" width="3.54296875" style="2" customWidth="1"/>
    <col min="2" max="2" width="21.81640625" style="2" customWidth="1"/>
    <col min="3" max="3" width="20.26953125" style="2" bestFit="1" customWidth="1"/>
    <col min="4" max="4" width="43.1796875" style="2" customWidth="1"/>
    <col min="5" max="5" width="26.1796875" style="2" customWidth="1"/>
    <col min="6" max="6" width="8.81640625" style="2"/>
    <col min="7" max="7" width="12.26953125" style="2" customWidth="1"/>
    <col min="8" max="8" width="11" style="2" customWidth="1"/>
    <col min="9" max="10" width="8.81640625" style="2"/>
    <col min="11" max="11" width="14.7265625" style="2" bestFit="1" customWidth="1"/>
    <col min="12" max="13" width="11.26953125" style="2" customWidth="1"/>
    <col min="14" max="14" width="31.54296875" style="2" customWidth="1"/>
    <col min="15" max="15" width="6.26953125" style="2" customWidth="1"/>
    <col min="16" max="16" width="18.54296875" style="2" customWidth="1"/>
    <col min="17" max="17" width="18" style="2" customWidth="1"/>
    <col min="18" max="18" width="20.81640625" style="2" bestFit="1" customWidth="1"/>
    <col min="19" max="19" width="14.7265625" style="2" customWidth="1"/>
    <col min="20" max="20" width="6.54296875" style="2" customWidth="1"/>
    <col min="21" max="16384" width="8.81640625" style="2"/>
  </cols>
  <sheetData>
    <row r="2" spans="2:18" ht="18.5" x14ac:dyDescent="0.45">
      <c r="B2" s="1" t="s">
        <v>228</v>
      </c>
    </row>
    <row r="3" spans="2:18" ht="18.5" x14ac:dyDescent="0.45">
      <c r="B3" s="58" t="s">
        <v>229</v>
      </c>
      <c r="G3" s="697" t="s">
        <v>230</v>
      </c>
      <c r="H3" s="697"/>
      <c r="I3" s="697" t="s">
        <v>54</v>
      </c>
      <c r="J3" s="697"/>
      <c r="L3" s="153" t="s">
        <v>230</v>
      </c>
      <c r="M3" s="153" t="s">
        <v>54</v>
      </c>
    </row>
    <row r="4" spans="2:18" x14ac:dyDescent="0.35">
      <c r="B4" s="3"/>
      <c r="C4" s="4"/>
      <c r="D4" s="5"/>
      <c r="E4" s="5"/>
      <c r="F4" s="710" t="s">
        <v>231</v>
      </c>
      <c r="G4" s="710"/>
      <c r="H4" s="710"/>
      <c r="I4" s="710"/>
      <c r="J4" s="710"/>
      <c r="K4" s="710"/>
      <c r="L4" s="713" t="s">
        <v>232</v>
      </c>
      <c r="M4" s="714"/>
      <c r="P4" s="709" t="s">
        <v>233</v>
      </c>
      <c r="Q4" s="710"/>
      <c r="R4" s="711"/>
    </row>
    <row r="5" spans="2:18" ht="33" x14ac:dyDescent="0.35">
      <c r="B5" s="64"/>
      <c r="C5" s="712" t="s">
        <v>171</v>
      </c>
      <c r="D5" s="712"/>
      <c r="E5" s="570" t="s">
        <v>172</v>
      </c>
      <c r="F5" s="570" t="s">
        <v>234</v>
      </c>
      <c r="G5" s="14" t="s">
        <v>235</v>
      </c>
      <c r="H5" s="14" t="s">
        <v>236</v>
      </c>
      <c r="I5" s="63" t="s">
        <v>237</v>
      </c>
      <c r="J5" s="63" t="s">
        <v>238</v>
      </c>
      <c r="K5" s="14" t="s">
        <v>239</v>
      </c>
      <c r="L5" s="59" t="s">
        <v>240</v>
      </c>
      <c r="M5" s="60" t="s">
        <v>241</v>
      </c>
      <c r="P5" s="13" t="s">
        <v>242</v>
      </c>
      <c r="Q5" s="14" t="s">
        <v>243</v>
      </c>
      <c r="R5" s="12" t="s">
        <v>244</v>
      </c>
    </row>
    <row r="6" spans="2:18" x14ac:dyDescent="0.35">
      <c r="B6" s="57"/>
      <c r="C6" s="716" t="s">
        <v>183</v>
      </c>
      <c r="D6" s="368" t="s">
        <v>184</v>
      </c>
      <c r="E6" s="374" t="s">
        <v>185</v>
      </c>
      <c r="F6" s="374" t="s">
        <v>104</v>
      </c>
      <c r="G6" s="471">
        <v>1.2E-2</v>
      </c>
      <c r="H6" s="471">
        <v>3.7000000000000002E-3</v>
      </c>
      <c r="I6" s="472">
        <v>5.7999999999999996E-3</v>
      </c>
      <c r="J6" s="471">
        <v>5.1999999999999998E-3</v>
      </c>
      <c r="K6" s="471">
        <v>10</v>
      </c>
      <c r="L6" s="521" t="s">
        <v>245</v>
      </c>
      <c r="M6" s="521" t="s">
        <v>245</v>
      </c>
      <c r="P6" s="6" t="s">
        <v>246</v>
      </c>
      <c r="Q6" s="2" t="s">
        <v>89</v>
      </c>
      <c r="R6" s="7">
        <f>0.000001</f>
        <v>9.9999999999999995E-7</v>
      </c>
    </row>
    <row r="7" spans="2:18" x14ac:dyDescent="0.35">
      <c r="B7" s="55"/>
      <c r="C7" s="704"/>
      <c r="D7" s="369" t="s">
        <v>247</v>
      </c>
      <c r="E7" s="375" t="s">
        <v>187</v>
      </c>
      <c r="F7" s="375" t="s">
        <v>107</v>
      </c>
      <c r="G7" s="473">
        <v>8</v>
      </c>
      <c r="H7" s="473">
        <v>3</v>
      </c>
      <c r="I7" s="473">
        <v>4.2</v>
      </c>
      <c r="J7" s="473">
        <v>4.0999999999999996</v>
      </c>
      <c r="K7" s="473">
        <v>100</v>
      </c>
      <c r="L7" s="522" t="s">
        <v>245</v>
      </c>
      <c r="M7" s="522" t="s">
        <v>245</v>
      </c>
      <c r="P7" s="6" t="s">
        <v>248</v>
      </c>
      <c r="Q7" s="2" t="s">
        <v>106</v>
      </c>
      <c r="R7" s="7">
        <f>0.00001</f>
        <v>1.0000000000000001E-5</v>
      </c>
    </row>
    <row r="8" spans="2:18" x14ac:dyDescent="0.35">
      <c r="B8" s="56" t="s">
        <v>182</v>
      </c>
      <c r="C8" s="717"/>
      <c r="D8" s="370" t="s">
        <v>249</v>
      </c>
      <c r="E8" s="376" t="s">
        <v>189</v>
      </c>
      <c r="F8" s="376" t="s">
        <v>109</v>
      </c>
      <c r="G8" s="474">
        <v>57</v>
      </c>
      <c r="H8" s="474">
        <v>23</v>
      </c>
      <c r="I8" s="474">
        <v>29</v>
      </c>
      <c r="J8" s="474">
        <v>28</v>
      </c>
      <c r="K8" s="474">
        <v>10</v>
      </c>
      <c r="L8" s="523" t="s">
        <v>245</v>
      </c>
      <c r="M8" s="523" t="s">
        <v>245</v>
      </c>
      <c r="N8" s="44"/>
      <c r="O8" s="179"/>
      <c r="P8" s="2" t="s">
        <v>250</v>
      </c>
      <c r="R8" s="7">
        <f>0.0001</f>
        <v>1E-4</v>
      </c>
    </row>
    <row r="9" spans="2:18" x14ac:dyDescent="0.35">
      <c r="B9" s="56"/>
      <c r="C9" s="703" t="s">
        <v>190</v>
      </c>
      <c r="D9" s="506" t="s">
        <v>191</v>
      </c>
      <c r="E9" s="506" t="s">
        <v>192</v>
      </c>
      <c r="F9" s="517" t="s">
        <v>111</v>
      </c>
      <c r="G9" s="518">
        <v>2.84</v>
      </c>
      <c r="H9" s="518">
        <v>0.97299999999999998</v>
      </c>
      <c r="I9" s="518">
        <v>1.36</v>
      </c>
      <c r="J9" s="518">
        <v>1.34</v>
      </c>
      <c r="K9" s="518">
        <v>10</v>
      </c>
      <c r="L9" s="524" t="s">
        <v>245</v>
      </c>
      <c r="M9" s="524" t="s">
        <v>245</v>
      </c>
      <c r="N9" s="44"/>
      <c r="O9" s="179"/>
      <c r="R9" s="7"/>
    </row>
    <row r="10" spans="2:18" x14ac:dyDescent="0.35">
      <c r="B10" s="56"/>
      <c r="C10" s="704"/>
      <c r="D10" s="511" t="s">
        <v>251</v>
      </c>
      <c r="E10" s="507" t="s">
        <v>192</v>
      </c>
      <c r="F10" s="507" t="s">
        <v>252</v>
      </c>
      <c r="G10" s="508">
        <v>4.46</v>
      </c>
      <c r="H10" s="508">
        <v>2.34</v>
      </c>
      <c r="I10" s="508">
        <v>1.38</v>
      </c>
      <c r="J10" s="508">
        <v>1.34</v>
      </c>
      <c r="K10" s="508">
        <v>10</v>
      </c>
      <c r="L10" s="522"/>
      <c r="M10" s="522"/>
      <c r="N10" s="44"/>
      <c r="O10" s="179"/>
      <c r="R10" s="7"/>
    </row>
    <row r="11" spans="2:18" x14ac:dyDescent="0.35">
      <c r="B11" s="55"/>
      <c r="C11" s="705"/>
      <c r="D11" s="512" t="s">
        <v>253</v>
      </c>
      <c r="E11" s="509" t="s">
        <v>192</v>
      </c>
      <c r="F11" s="509" t="s">
        <v>254</v>
      </c>
      <c r="G11" s="510">
        <v>2.97</v>
      </c>
      <c r="H11" s="510">
        <v>1.56</v>
      </c>
      <c r="I11" s="510">
        <v>1.38</v>
      </c>
      <c r="J11" s="510">
        <v>1.34</v>
      </c>
      <c r="K11" s="510">
        <v>10</v>
      </c>
      <c r="L11" s="523" t="s">
        <v>245</v>
      </c>
      <c r="M11" s="523" t="s">
        <v>245</v>
      </c>
      <c r="N11" s="44"/>
      <c r="O11" s="179"/>
      <c r="P11" s="6" t="s">
        <v>255</v>
      </c>
      <c r="R11" s="8"/>
    </row>
    <row r="12" spans="2:18" ht="29" x14ac:dyDescent="0.35">
      <c r="B12" s="698" t="s">
        <v>194</v>
      </c>
      <c r="C12" s="280" t="s">
        <v>195</v>
      </c>
      <c r="D12" s="370" t="s">
        <v>196</v>
      </c>
      <c r="E12" s="376" t="s">
        <v>197</v>
      </c>
      <c r="F12" s="376" t="s">
        <v>119</v>
      </c>
      <c r="G12" s="474">
        <v>25</v>
      </c>
      <c r="H12" s="474">
        <v>9.1</v>
      </c>
      <c r="I12" s="515">
        <v>9</v>
      </c>
      <c r="J12" s="474">
        <v>7.9</v>
      </c>
      <c r="K12" s="474">
        <v>10</v>
      </c>
      <c r="L12" s="523" t="s">
        <v>245</v>
      </c>
      <c r="M12" s="523" t="s">
        <v>245</v>
      </c>
      <c r="N12" s="44"/>
      <c r="O12" s="179"/>
      <c r="P12" s="6"/>
      <c r="R12" s="8"/>
    </row>
    <row r="13" spans="2:18" x14ac:dyDescent="0.35">
      <c r="B13" s="699"/>
      <c r="C13" s="572" t="s">
        <v>198</v>
      </c>
      <c r="D13" s="371" t="s">
        <v>199</v>
      </c>
      <c r="E13" s="371" t="s">
        <v>200</v>
      </c>
      <c r="F13" s="371" t="s">
        <v>121</v>
      </c>
      <c r="G13" s="475">
        <v>0.19</v>
      </c>
      <c r="H13" s="475">
        <v>2.5000000000000001E-2</v>
      </c>
      <c r="I13" s="475">
        <v>0.15</v>
      </c>
      <c r="J13" s="475">
        <v>1.4999999999999999E-2</v>
      </c>
      <c r="K13" s="475">
        <v>10</v>
      </c>
      <c r="L13" s="525" t="s">
        <v>245</v>
      </c>
      <c r="M13" s="525" t="s">
        <v>245</v>
      </c>
      <c r="N13" s="44"/>
      <c r="O13" s="179"/>
      <c r="P13" s="6"/>
      <c r="R13" s="8"/>
    </row>
    <row r="14" spans="2:18" ht="14.25" customHeight="1" x14ac:dyDescent="0.35">
      <c r="B14" s="699"/>
      <c r="C14" s="701" t="s">
        <v>201</v>
      </c>
      <c r="D14" s="372" t="s">
        <v>202</v>
      </c>
      <c r="E14" s="377" t="s">
        <v>203</v>
      </c>
      <c r="F14" s="377" t="s">
        <v>123</v>
      </c>
      <c r="G14" s="473">
        <v>13</v>
      </c>
      <c r="H14" s="473">
        <v>4.8</v>
      </c>
      <c r="I14" s="473">
        <v>6.6</v>
      </c>
      <c r="J14" s="473">
        <v>6.5</v>
      </c>
      <c r="K14" s="473">
        <v>300</v>
      </c>
      <c r="L14" s="522" t="s">
        <v>245</v>
      </c>
      <c r="M14" s="522" t="s">
        <v>245</v>
      </c>
      <c r="N14" s="519" t="s">
        <v>256</v>
      </c>
      <c r="P14" s="9"/>
      <c r="Q14" s="10"/>
      <c r="R14" s="11"/>
    </row>
    <row r="15" spans="2:18" x14ac:dyDescent="0.35">
      <c r="B15" s="699"/>
      <c r="C15" s="702"/>
      <c r="D15" s="281" t="s">
        <v>204</v>
      </c>
      <c r="E15" s="282" t="s">
        <v>205</v>
      </c>
      <c r="F15" s="282" t="s">
        <v>125</v>
      </c>
      <c r="G15" s="474">
        <v>14</v>
      </c>
      <c r="H15" s="474">
        <v>5.3</v>
      </c>
      <c r="I15" s="474">
        <v>7.4</v>
      </c>
      <c r="J15" s="474">
        <v>7.3</v>
      </c>
      <c r="K15" s="474">
        <v>10</v>
      </c>
      <c r="L15" s="523" t="s">
        <v>245</v>
      </c>
      <c r="M15" s="523" t="s">
        <v>245</v>
      </c>
    </row>
    <row r="16" spans="2:18" x14ac:dyDescent="0.35">
      <c r="B16" s="699"/>
      <c r="C16" s="703" t="s">
        <v>206</v>
      </c>
      <c r="D16" s="373" t="s">
        <v>257</v>
      </c>
      <c r="E16" s="377" t="s">
        <v>208</v>
      </c>
      <c r="F16" s="377" t="s">
        <v>127</v>
      </c>
      <c r="G16" s="473">
        <v>1.4</v>
      </c>
      <c r="H16" s="473">
        <v>0.5</v>
      </c>
      <c r="I16" s="473">
        <v>0.74</v>
      </c>
      <c r="J16" s="473">
        <v>0.73</v>
      </c>
      <c r="K16" s="473">
        <v>30</v>
      </c>
      <c r="L16" s="522" t="s">
        <v>245</v>
      </c>
      <c r="M16" s="522" t="s">
        <v>245</v>
      </c>
      <c r="P16" s="61" t="s">
        <v>258</v>
      </c>
      <c r="Q16" s="61"/>
      <c r="R16" s="61"/>
    </row>
    <row r="17" spans="2:18" x14ac:dyDescent="0.35">
      <c r="B17" s="699"/>
      <c r="C17" s="717"/>
      <c r="D17" s="281" t="s">
        <v>259</v>
      </c>
      <c r="E17" s="282" t="s">
        <v>189</v>
      </c>
      <c r="F17" s="282" t="s">
        <v>129</v>
      </c>
      <c r="G17" s="474">
        <v>98</v>
      </c>
      <c r="H17" s="474">
        <v>37</v>
      </c>
      <c r="I17" s="474">
        <v>47</v>
      </c>
      <c r="J17" s="474">
        <v>44</v>
      </c>
      <c r="K17" s="474">
        <v>100</v>
      </c>
      <c r="L17" s="523" t="s">
        <v>245</v>
      </c>
      <c r="M17" s="523" t="s">
        <v>245</v>
      </c>
      <c r="P17" s="715">
        <f>Q19/Q18</f>
        <v>0.18608722124971461</v>
      </c>
      <c r="Q17" s="715"/>
      <c r="R17" s="62" t="s">
        <v>260</v>
      </c>
    </row>
    <row r="18" spans="2:18" ht="15" customHeight="1" x14ac:dyDescent="0.35">
      <c r="B18" s="699"/>
      <c r="C18" s="703" t="s">
        <v>183</v>
      </c>
      <c r="D18" s="368" t="s">
        <v>261</v>
      </c>
      <c r="E18" s="377" t="s">
        <v>185</v>
      </c>
      <c r="F18" s="377" t="s">
        <v>131</v>
      </c>
      <c r="G18" s="473">
        <v>1.2E-2</v>
      </c>
      <c r="H18" s="473">
        <v>3.7000000000000002E-3</v>
      </c>
      <c r="I18" s="516">
        <v>5.7999999999999996E-3</v>
      </c>
      <c r="J18" s="473">
        <v>5.1999999999999998E-3</v>
      </c>
      <c r="K18" s="473">
        <v>10</v>
      </c>
      <c r="L18" s="522" t="s">
        <v>245</v>
      </c>
      <c r="M18" s="522" t="s">
        <v>245</v>
      </c>
      <c r="P18" s="571" t="s">
        <v>262</v>
      </c>
      <c r="Q18" s="62">
        <v>131.38999999999999</v>
      </c>
      <c r="R18" s="62" t="s">
        <v>263</v>
      </c>
    </row>
    <row r="19" spans="2:18" x14ac:dyDescent="0.35">
      <c r="B19" s="699"/>
      <c r="C19" s="704"/>
      <c r="D19" s="369" t="s">
        <v>247</v>
      </c>
      <c r="E19" s="377" t="s">
        <v>187</v>
      </c>
      <c r="F19" s="377" t="s">
        <v>133</v>
      </c>
      <c r="G19" s="473">
        <v>8</v>
      </c>
      <c r="H19" s="473">
        <v>3</v>
      </c>
      <c r="I19" s="473">
        <v>4.2</v>
      </c>
      <c r="J19" s="473">
        <v>4.0999999999999996</v>
      </c>
      <c r="K19" s="473">
        <v>300</v>
      </c>
      <c r="L19" s="522" t="s">
        <v>245</v>
      </c>
      <c r="M19" s="522" t="s">
        <v>245</v>
      </c>
      <c r="P19" s="571" t="s">
        <v>264</v>
      </c>
      <c r="Q19" s="62">
        <v>24.45</v>
      </c>
      <c r="R19" s="62" t="s">
        <v>265</v>
      </c>
    </row>
    <row r="20" spans="2:18" ht="15" customHeight="1" x14ac:dyDescent="0.35">
      <c r="B20" s="699"/>
      <c r="C20" s="705"/>
      <c r="D20" s="369" t="s">
        <v>249</v>
      </c>
      <c r="E20" s="377" t="s">
        <v>189</v>
      </c>
      <c r="F20" s="377" t="s">
        <v>135</v>
      </c>
      <c r="G20" s="473">
        <v>57</v>
      </c>
      <c r="H20" s="473">
        <v>23</v>
      </c>
      <c r="I20" s="473">
        <v>29</v>
      </c>
      <c r="J20" s="473">
        <v>28</v>
      </c>
      <c r="K20" s="473">
        <v>10</v>
      </c>
      <c r="L20" s="522" t="s">
        <v>245</v>
      </c>
      <c r="M20" s="522" t="s">
        <v>245</v>
      </c>
    </row>
    <row r="21" spans="2:18" x14ac:dyDescent="0.35">
      <c r="B21" s="699"/>
      <c r="C21" s="706" t="s">
        <v>190</v>
      </c>
      <c r="D21" s="372" t="s">
        <v>211</v>
      </c>
      <c r="E21" s="517" t="s">
        <v>212</v>
      </c>
      <c r="F21" s="517" t="s">
        <v>137</v>
      </c>
      <c r="G21" s="518">
        <v>4.8</v>
      </c>
      <c r="H21" s="518">
        <v>1.7</v>
      </c>
      <c r="I21" s="518">
        <v>2.5</v>
      </c>
      <c r="J21" s="518">
        <v>2.5</v>
      </c>
      <c r="K21" s="518">
        <v>100</v>
      </c>
      <c r="L21" s="524" t="s">
        <v>245</v>
      </c>
      <c r="M21" s="524" t="s">
        <v>245</v>
      </c>
    </row>
    <row r="22" spans="2:18" x14ac:dyDescent="0.35">
      <c r="B22" s="699"/>
      <c r="C22" s="707"/>
      <c r="D22" s="373" t="s">
        <v>213</v>
      </c>
      <c r="E22" s="377" t="s">
        <v>214</v>
      </c>
      <c r="F22" s="377" t="s">
        <v>139</v>
      </c>
      <c r="G22" s="473">
        <v>9.1999999999999998E-2</v>
      </c>
      <c r="H22" s="473">
        <v>3.3000000000000002E-2</v>
      </c>
      <c r="I22" s="473">
        <v>4.9000000000000002E-2</v>
      </c>
      <c r="J22" s="473">
        <v>4.8000000000000001E-2</v>
      </c>
      <c r="K22" s="473">
        <v>30</v>
      </c>
      <c r="L22" s="522"/>
      <c r="M22" s="522"/>
    </row>
    <row r="23" spans="2:18" x14ac:dyDescent="0.35">
      <c r="B23" s="699"/>
      <c r="C23" s="707"/>
      <c r="D23" s="513" t="s">
        <v>266</v>
      </c>
      <c r="E23" s="502" t="s">
        <v>214</v>
      </c>
      <c r="F23" s="502" t="s">
        <v>267</v>
      </c>
      <c r="G23" s="503">
        <v>0.15</v>
      </c>
      <c r="H23" s="503">
        <v>8.3000000000000004E-2</v>
      </c>
      <c r="I23" s="503">
        <v>4.9000000000000002E-2</v>
      </c>
      <c r="J23" s="503">
        <v>4.8000000000000001E-2</v>
      </c>
      <c r="K23" s="503">
        <v>30</v>
      </c>
      <c r="L23" s="526"/>
      <c r="M23" s="526"/>
    </row>
    <row r="24" spans="2:18" x14ac:dyDescent="0.35">
      <c r="B24" s="700"/>
      <c r="C24" s="708"/>
      <c r="D24" s="514" t="s">
        <v>268</v>
      </c>
      <c r="E24" s="504" t="s">
        <v>214</v>
      </c>
      <c r="F24" s="504" t="s">
        <v>269</v>
      </c>
      <c r="G24" s="505">
        <v>0.10199999999999999</v>
      </c>
      <c r="H24" s="505">
        <v>5.5E-2</v>
      </c>
      <c r="I24" s="505">
        <v>4.9000000000000002E-2</v>
      </c>
      <c r="J24" s="505">
        <v>4.8000000000000001E-2</v>
      </c>
      <c r="K24" s="505">
        <v>30</v>
      </c>
      <c r="L24" s="527" t="s">
        <v>245</v>
      </c>
      <c r="M24" s="527" t="s">
        <v>245</v>
      </c>
    </row>
    <row r="25" spans="2:18" ht="29" x14ac:dyDescent="0.35">
      <c r="B25" s="303" t="s">
        <v>217</v>
      </c>
      <c r="C25" s="304" t="s">
        <v>218</v>
      </c>
      <c r="D25" s="520" t="s">
        <v>219</v>
      </c>
      <c r="E25" s="378" t="s">
        <v>220</v>
      </c>
      <c r="F25" s="378" t="s">
        <v>152</v>
      </c>
      <c r="G25" s="379" t="s">
        <v>245</v>
      </c>
      <c r="H25" s="379" t="s">
        <v>245</v>
      </c>
      <c r="I25" s="379" t="s">
        <v>245</v>
      </c>
      <c r="J25" s="379" t="s">
        <v>245</v>
      </c>
      <c r="K25" s="379" t="s">
        <v>245</v>
      </c>
      <c r="L25" s="458">
        <f>0.022</f>
        <v>2.1999999999999999E-2</v>
      </c>
      <c r="M25" s="459">
        <v>4.6399999999999997E-2</v>
      </c>
    </row>
    <row r="26" spans="2:18" x14ac:dyDescent="0.35">
      <c r="D26" s="17"/>
    </row>
  </sheetData>
  <sheetProtection algorithmName="SHA-512" hashValue="/Ox04669NQ2bppVt7N73KWwETM7t0XS0xV31q1Jvapbvl4viXu49i7/xqA9xzf+026flcBc/r6OL27eoDRH9oQ==" saltValue="iVqy7ryjmItxOQy3AB5ytw==" spinCount="100000" sheet="1" objects="1" scenarios="1"/>
  <mergeCells count="14">
    <mergeCell ref="P4:R4"/>
    <mergeCell ref="C5:D5"/>
    <mergeCell ref="F4:K4"/>
    <mergeCell ref="L4:M4"/>
    <mergeCell ref="P17:Q17"/>
    <mergeCell ref="C6:C8"/>
    <mergeCell ref="C16:C17"/>
    <mergeCell ref="C9:C11"/>
    <mergeCell ref="I3:J3"/>
    <mergeCell ref="G3:H3"/>
    <mergeCell ref="B12:B24"/>
    <mergeCell ref="C14:C15"/>
    <mergeCell ref="C18:C20"/>
    <mergeCell ref="C21:C24"/>
  </mergeCells>
  <phoneticPr fontId="43"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selection activeCell="B2" sqref="B2"/>
    </sheetView>
  </sheetViews>
  <sheetFormatPr defaultRowHeight="14.5" x14ac:dyDescent="0.35"/>
  <cols>
    <col min="1" max="1" width="31.453125" customWidth="1"/>
    <col min="2" max="2" width="35.54296875" customWidth="1"/>
    <col min="5" max="5" width="18.26953125" customWidth="1"/>
    <col min="6" max="6" width="16.453125" customWidth="1"/>
    <col min="7" max="7" width="18" customWidth="1"/>
  </cols>
  <sheetData>
    <row r="1" spans="1:7" ht="15" thickBot="1" x14ac:dyDescent="0.4"/>
    <row r="2" spans="1:7" ht="31.5" thickBot="1" x14ac:dyDescent="0.4">
      <c r="A2" s="175" t="s">
        <v>270</v>
      </c>
      <c r="B2" s="176" t="s">
        <v>52</v>
      </c>
      <c r="C2" s="177" t="s">
        <v>271</v>
      </c>
      <c r="D2" s="178" t="s">
        <v>272</v>
      </c>
      <c r="E2" s="178" t="s">
        <v>273</v>
      </c>
      <c r="F2" s="178" t="s">
        <v>274</v>
      </c>
      <c r="G2" s="178" t="s">
        <v>275</v>
      </c>
    </row>
    <row r="3" spans="1:7" x14ac:dyDescent="0.35">
      <c r="A3" s="265" t="s">
        <v>276</v>
      </c>
      <c r="B3" s="250" t="s">
        <v>276</v>
      </c>
      <c r="C3" s="251">
        <v>1</v>
      </c>
      <c r="D3" s="252">
        <v>1</v>
      </c>
      <c r="E3" s="252" t="s">
        <v>277</v>
      </c>
      <c r="F3" s="253">
        <v>8.2046436618794419E-2</v>
      </c>
      <c r="G3" s="254" t="str">
        <f>IF(E3="Yes",1,"N/A")</f>
        <v>N/A</v>
      </c>
    </row>
    <row r="4" spans="1:7" x14ac:dyDescent="0.35">
      <c r="A4" s="266" t="s">
        <v>278</v>
      </c>
      <c r="B4" s="255" t="s">
        <v>278</v>
      </c>
      <c r="C4" s="256">
        <v>1</v>
      </c>
      <c r="D4" s="257">
        <v>1</v>
      </c>
      <c r="E4" s="257" t="s">
        <v>277</v>
      </c>
      <c r="F4" s="258">
        <v>8.2046436618794419E-2</v>
      </c>
      <c r="G4" s="259" t="str">
        <f t="shared" ref="G4:G25" si="0">IF(E4="Yes",1,"N/A")</f>
        <v>N/A</v>
      </c>
    </row>
    <row r="5" spans="1:7" x14ac:dyDescent="0.35">
      <c r="A5" s="266" t="s">
        <v>279</v>
      </c>
      <c r="B5" s="255" t="s">
        <v>280</v>
      </c>
      <c r="C5" s="256">
        <v>1</v>
      </c>
      <c r="D5" s="257">
        <v>1</v>
      </c>
      <c r="E5" s="257" t="s">
        <v>277</v>
      </c>
      <c r="F5" s="258">
        <v>8.2046436618794419E-2</v>
      </c>
      <c r="G5" s="259" t="str">
        <f t="shared" si="0"/>
        <v>N/A</v>
      </c>
    </row>
    <row r="6" spans="1:7" ht="29" x14ac:dyDescent="0.35">
      <c r="A6" s="266" t="s">
        <v>281</v>
      </c>
      <c r="B6" s="255" t="s">
        <v>281</v>
      </c>
      <c r="C6" s="256">
        <v>1</v>
      </c>
      <c r="D6" s="257">
        <v>1</v>
      </c>
      <c r="E6" s="257" t="s">
        <v>277</v>
      </c>
      <c r="F6" s="258">
        <v>8.2046436618794419E-2</v>
      </c>
      <c r="G6" s="259" t="str">
        <f t="shared" si="0"/>
        <v>N/A</v>
      </c>
    </row>
    <row r="7" spans="1:7" x14ac:dyDescent="0.35">
      <c r="A7" s="266" t="s">
        <v>282</v>
      </c>
      <c r="B7" s="255" t="s">
        <v>282</v>
      </c>
      <c r="C7" s="256">
        <v>1</v>
      </c>
      <c r="D7" s="257">
        <v>1</v>
      </c>
      <c r="E7" s="257" t="s">
        <v>277</v>
      </c>
      <c r="F7" s="258">
        <v>8.2046436618794419E-2</v>
      </c>
      <c r="G7" s="259" t="str">
        <f t="shared" si="0"/>
        <v>N/A</v>
      </c>
    </row>
    <row r="8" spans="1:7" ht="29" x14ac:dyDescent="0.35">
      <c r="A8" s="266" t="s">
        <v>283</v>
      </c>
      <c r="B8" s="255" t="s">
        <v>283</v>
      </c>
      <c r="C8" s="256">
        <v>1</v>
      </c>
      <c r="D8" s="257">
        <v>1</v>
      </c>
      <c r="E8" s="257" t="s">
        <v>277</v>
      </c>
      <c r="F8" s="258">
        <v>8.2046436618794419E-2</v>
      </c>
      <c r="G8" s="259" t="str">
        <f t="shared" si="0"/>
        <v>N/A</v>
      </c>
    </row>
    <row r="9" spans="1:7" x14ac:dyDescent="0.35">
      <c r="A9" s="266" t="s">
        <v>284</v>
      </c>
      <c r="B9" s="255" t="s">
        <v>284</v>
      </c>
      <c r="C9" s="256">
        <v>1</v>
      </c>
      <c r="D9" s="257">
        <v>1</v>
      </c>
      <c r="E9" s="257" t="s">
        <v>277</v>
      </c>
      <c r="F9" s="258">
        <v>8.2046436618794419E-2</v>
      </c>
      <c r="G9" s="259" t="str">
        <f t="shared" si="0"/>
        <v>N/A</v>
      </c>
    </row>
    <row r="10" spans="1:7" x14ac:dyDescent="0.35">
      <c r="A10" s="266" t="s">
        <v>285</v>
      </c>
      <c r="B10" s="255" t="s">
        <v>286</v>
      </c>
      <c r="C10" s="256">
        <v>2</v>
      </c>
      <c r="D10" s="257">
        <v>1</v>
      </c>
      <c r="E10" s="257" t="s">
        <v>287</v>
      </c>
      <c r="F10" s="258">
        <v>8.2046436618794419E-2</v>
      </c>
      <c r="G10" s="259">
        <f t="shared" si="0"/>
        <v>1</v>
      </c>
    </row>
    <row r="11" spans="1:7" ht="29" x14ac:dyDescent="0.35">
      <c r="A11" s="266" t="s">
        <v>288</v>
      </c>
      <c r="B11" s="255" t="s">
        <v>289</v>
      </c>
      <c r="C11" s="256">
        <v>2</v>
      </c>
      <c r="D11" s="257">
        <v>1</v>
      </c>
      <c r="E11" s="257" t="s">
        <v>287</v>
      </c>
      <c r="F11" s="258">
        <v>8.2046436618794419E-2</v>
      </c>
      <c r="G11" s="259">
        <f t="shared" ref="G11" si="1">IF(E11="Yes",1,"N/A")</f>
        <v>1</v>
      </c>
    </row>
    <row r="12" spans="1:7" ht="29" x14ac:dyDescent="0.35">
      <c r="A12" s="266" t="s">
        <v>290</v>
      </c>
      <c r="B12" s="255" t="s">
        <v>290</v>
      </c>
      <c r="C12" s="256">
        <v>2</v>
      </c>
      <c r="D12" s="257">
        <v>1</v>
      </c>
      <c r="E12" s="257" t="s">
        <v>287</v>
      </c>
      <c r="F12" s="258">
        <v>8.2046436618794419E-2</v>
      </c>
      <c r="G12" s="259">
        <f t="shared" si="0"/>
        <v>1</v>
      </c>
    </row>
    <row r="13" spans="1:7" x14ac:dyDescent="0.35">
      <c r="A13" s="266" t="s">
        <v>291</v>
      </c>
      <c r="B13" s="255" t="s">
        <v>291</v>
      </c>
      <c r="C13" s="256">
        <v>2</v>
      </c>
      <c r="D13" s="257">
        <v>1</v>
      </c>
      <c r="E13" s="257" t="s">
        <v>287</v>
      </c>
      <c r="F13" s="258">
        <v>8.2046436618794419E-2</v>
      </c>
      <c r="G13" s="259">
        <f t="shared" si="0"/>
        <v>1</v>
      </c>
    </row>
    <row r="14" spans="1:7" x14ac:dyDescent="0.35">
      <c r="A14" s="266" t="s">
        <v>292</v>
      </c>
      <c r="B14" s="255" t="s">
        <v>292</v>
      </c>
      <c r="C14" s="256">
        <v>2</v>
      </c>
      <c r="D14" s="257">
        <v>1</v>
      </c>
      <c r="E14" s="257" t="s">
        <v>287</v>
      </c>
      <c r="F14" s="258">
        <v>8.2046436618794419E-2</v>
      </c>
      <c r="G14" s="259">
        <f t="shared" si="0"/>
        <v>1</v>
      </c>
    </row>
    <row r="15" spans="1:7" x14ac:dyDescent="0.35">
      <c r="A15" s="266" t="s">
        <v>293</v>
      </c>
      <c r="B15" s="255" t="s">
        <v>293</v>
      </c>
      <c r="C15" s="256">
        <v>2</v>
      </c>
      <c r="D15" s="257">
        <v>1</v>
      </c>
      <c r="E15" s="257" t="s">
        <v>287</v>
      </c>
      <c r="F15" s="258">
        <v>8.2046436618794419E-2</v>
      </c>
      <c r="G15" s="259">
        <f t="shared" si="0"/>
        <v>1</v>
      </c>
    </row>
    <row r="16" spans="1:7" ht="72.5" x14ac:dyDescent="0.35">
      <c r="A16" s="266" t="s">
        <v>294</v>
      </c>
      <c r="B16" s="255" t="s">
        <v>294</v>
      </c>
      <c r="C16" s="256">
        <v>3</v>
      </c>
      <c r="D16" s="257">
        <v>1</v>
      </c>
      <c r="E16" s="257" t="s">
        <v>277</v>
      </c>
      <c r="F16" s="258">
        <v>0.12881151022869558</v>
      </c>
      <c r="G16" s="259" t="str">
        <f t="shared" si="0"/>
        <v>N/A</v>
      </c>
    </row>
    <row r="17" spans="1:7" ht="29" x14ac:dyDescent="0.35">
      <c r="A17" s="266" t="s">
        <v>295</v>
      </c>
      <c r="B17" s="255" t="s">
        <v>295</v>
      </c>
      <c r="C17" s="256">
        <v>3</v>
      </c>
      <c r="D17" s="257">
        <v>0.9</v>
      </c>
      <c r="E17" s="257" t="s">
        <v>277</v>
      </c>
      <c r="F17" s="258">
        <v>8.2046436618794419E-2</v>
      </c>
      <c r="G17" s="259" t="str">
        <f t="shared" si="0"/>
        <v>N/A</v>
      </c>
    </row>
    <row r="18" spans="1:7" ht="29" x14ac:dyDescent="0.35">
      <c r="A18" s="266" t="s">
        <v>296</v>
      </c>
      <c r="B18" s="255" t="s">
        <v>296</v>
      </c>
      <c r="C18" s="256">
        <v>3</v>
      </c>
      <c r="D18" s="257">
        <v>0.9</v>
      </c>
      <c r="E18" s="257" t="s">
        <v>277</v>
      </c>
      <c r="F18" s="258">
        <v>0.12881151022869558</v>
      </c>
      <c r="G18" s="259" t="str">
        <f t="shared" si="0"/>
        <v>N/A</v>
      </c>
    </row>
    <row r="19" spans="1:7" ht="29" x14ac:dyDescent="0.35">
      <c r="A19" s="266" t="s">
        <v>297</v>
      </c>
      <c r="B19" s="48" t="s">
        <v>297</v>
      </c>
      <c r="C19" s="256">
        <v>4</v>
      </c>
      <c r="D19" s="257">
        <v>1</v>
      </c>
      <c r="E19" s="257" t="s">
        <v>287</v>
      </c>
      <c r="F19" s="258">
        <v>0.12881151022869558</v>
      </c>
      <c r="G19" s="259">
        <f t="shared" ref="G19" si="2">IF(E19="Yes",1,"N/A")</f>
        <v>1</v>
      </c>
    </row>
    <row r="20" spans="1:7" ht="29" x14ac:dyDescent="0.35">
      <c r="A20" s="266" t="s">
        <v>298</v>
      </c>
      <c r="B20" s="255" t="s">
        <v>299</v>
      </c>
      <c r="C20" s="256">
        <v>4</v>
      </c>
      <c r="D20" s="257">
        <v>1</v>
      </c>
      <c r="E20" s="257" t="s">
        <v>287</v>
      </c>
      <c r="F20" s="258">
        <v>0.12881151022869558</v>
      </c>
      <c r="G20" s="259">
        <f t="shared" si="0"/>
        <v>1</v>
      </c>
    </row>
    <row r="21" spans="1:7" ht="29" x14ac:dyDescent="0.35">
      <c r="A21" s="266" t="s">
        <v>298</v>
      </c>
      <c r="B21" s="255" t="s">
        <v>300</v>
      </c>
      <c r="C21" s="256">
        <v>4</v>
      </c>
      <c r="D21" s="257">
        <v>1</v>
      </c>
      <c r="E21" s="257" t="s">
        <v>287</v>
      </c>
      <c r="F21" s="258">
        <v>0.12881151022869558</v>
      </c>
      <c r="G21" s="259">
        <f t="shared" si="0"/>
        <v>1</v>
      </c>
    </row>
    <row r="22" spans="1:7" ht="29" x14ac:dyDescent="0.35">
      <c r="A22" s="266" t="s">
        <v>298</v>
      </c>
      <c r="B22" s="255" t="s">
        <v>301</v>
      </c>
      <c r="C22" s="256">
        <v>4</v>
      </c>
      <c r="D22" s="257">
        <v>1</v>
      </c>
      <c r="E22" s="257" t="s">
        <v>287</v>
      </c>
      <c r="F22" s="258">
        <v>0.12881151022869558</v>
      </c>
      <c r="G22" s="259">
        <f t="shared" si="0"/>
        <v>1</v>
      </c>
    </row>
    <row r="23" spans="1:7" x14ac:dyDescent="0.35">
      <c r="A23" s="266" t="s">
        <v>302</v>
      </c>
      <c r="B23" s="203" t="s">
        <v>302</v>
      </c>
      <c r="C23" s="256">
        <v>4</v>
      </c>
      <c r="D23" s="257">
        <v>1</v>
      </c>
      <c r="E23" s="257" t="s">
        <v>287</v>
      </c>
      <c r="F23" s="258">
        <v>0.12881151022869558</v>
      </c>
      <c r="G23" s="259">
        <f t="shared" ref="G23" si="3">IF(E23="Yes",1,"N/A")</f>
        <v>1</v>
      </c>
    </row>
    <row r="24" spans="1:7" x14ac:dyDescent="0.35">
      <c r="A24" s="266" t="s">
        <v>303</v>
      </c>
      <c r="B24" s="255" t="s">
        <v>303</v>
      </c>
      <c r="C24" s="256">
        <v>4</v>
      </c>
      <c r="D24" s="257">
        <v>0.8</v>
      </c>
      <c r="E24" s="257" t="s">
        <v>287</v>
      </c>
      <c r="F24" s="258">
        <v>8.2046436618794419E-2</v>
      </c>
      <c r="G24" s="259">
        <f t="shared" si="0"/>
        <v>1</v>
      </c>
    </row>
    <row r="25" spans="1:7" ht="15" thickBot="1" x14ac:dyDescent="0.4">
      <c r="A25" s="267" t="s">
        <v>62</v>
      </c>
      <c r="B25" s="260" t="s">
        <v>62</v>
      </c>
      <c r="C25" s="261">
        <v>4</v>
      </c>
      <c r="D25" s="262">
        <v>0.35</v>
      </c>
      <c r="E25" s="262" t="s">
        <v>287</v>
      </c>
      <c r="F25" s="263">
        <v>0.12881151022869558</v>
      </c>
      <c r="G25" s="264">
        <f t="shared" si="0"/>
        <v>1</v>
      </c>
    </row>
  </sheetData>
  <sheetProtection algorithmName="SHA-512" hashValue="3Uq6nSgJ/TcKmVC8kzv/LAYNKY74dzYYZ+cbMhR9iulizpLm6owkEFwh+HN6fZzaKxwup7DcQ1dE+HO90GbqyQ==" saltValue="nkrp1B/SlAtkICsPbtbby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4"/>
  <sheetViews>
    <sheetView zoomScale="80" zoomScaleNormal="80" workbookViewId="0">
      <selection sqref="A1:F1"/>
    </sheetView>
  </sheetViews>
  <sheetFormatPr defaultColWidth="9.1796875" defaultRowHeight="14.5" x14ac:dyDescent="0.35"/>
  <cols>
    <col min="1" max="1" width="32" style="181" customWidth="1"/>
    <col min="2" max="2" width="28.453125" style="181" customWidth="1"/>
    <col min="3" max="3" width="17.54296875" style="181" customWidth="1"/>
    <col min="4" max="4" width="19.81640625" style="182" bestFit="1" customWidth="1"/>
    <col min="5" max="5" width="11.54296875" style="182" customWidth="1"/>
    <col min="6" max="6" width="7" style="182" customWidth="1"/>
    <col min="7" max="7" width="8.54296875" style="182" bestFit="1" customWidth="1"/>
    <col min="8" max="8" width="17.54296875" style="182" customWidth="1"/>
    <col min="9" max="9" width="18.453125" style="182" customWidth="1"/>
    <col min="10" max="10" width="19" style="182" customWidth="1"/>
    <col min="11" max="11" width="13.54296875" style="182" customWidth="1"/>
    <col min="12" max="12" width="11.54296875" style="182" customWidth="1"/>
    <col min="13" max="13" width="24.453125" style="182" customWidth="1"/>
    <col min="14" max="14" width="23" style="182" customWidth="1"/>
    <col min="15" max="15" width="24" style="181" customWidth="1"/>
    <col min="16" max="16" width="26" style="181" customWidth="1"/>
    <col min="17" max="17" width="26.26953125" style="181" customWidth="1"/>
    <col min="18" max="16384" width="9.1796875" style="183"/>
  </cols>
  <sheetData>
    <row r="1" spans="1:17" ht="15" thickBot="1" x14ac:dyDescent="0.4">
      <c r="A1" s="735" t="s">
        <v>304</v>
      </c>
      <c r="B1" s="735"/>
      <c r="C1" s="735"/>
      <c r="D1" s="735"/>
      <c r="E1" s="735"/>
      <c r="F1" s="736"/>
      <c r="G1" s="740" t="s">
        <v>305</v>
      </c>
      <c r="H1" s="741"/>
      <c r="I1" s="741"/>
      <c r="J1" s="741"/>
      <c r="K1" s="741"/>
      <c r="L1" s="741"/>
      <c r="M1" s="741"/>
      <c r="N1" s="718" t="s">
        <v>306</v>
      </c>
      <c r="O1" s="719"/>
      <c r="P1" s="719"/>
      <c r="Q1" s="720"/>
    </row>
    <row r="2" spans="1:17" x14ac:dyDescent="0.35">
      <c r="A2" s="751" t="s">
        <v>270</v>
      </c>
      <c r="B2" s="748" t="s">
        <v>52</v>
      </c>
      <c r="C2" s="733" t="s">
        <v>166</v>
      </c>
      <c r="D2" s="733" t="s">
        <v>307</v>
      </c>
      <c r="E2" s="733" t="s">
        <v>68</v>
      </c>
      <c r="F2" s="733" t="s">
        <v>271</v>
      </c>
      <c r="G2" s="744" t="s">
        <v>308</v>
      </c>
      <c r="H2" s="742" t="s">
        <v>309</v>
      </c>
      <c r="I2" s="730" t="s">
        <v>310</v>
      </c>
      <c r="J2" s="730" t="s">
        <v>311</v>
      </c>
      <c r="K2" s="725" t="s">
        <v>312</v>
      </c>
      <c r="L2" s="725" t="s">
        <v>313</v>
      </c>
      <c r="M2" s="730" t="s">
        <v>314</v>
      </c>
      <c r="N2" s="728" t="s">
        <v>75</v>
      </c>
      <c r="O2" s="721" t="s">
        <v>76</v>
      </c>
      <c r="P2" s="721" t="s">
        <v>77</v>
      </c>
      <c r="Q2" s="723" t="s">
        <v>78</v>
      </c>
    </row>
    <row r="3" spans="1:17" ht="15" customHeight="1" x14ac:dyDescent="0.35">
      <c r="A3" s="752"/>
      <c r="B3" s="749"/>
      <c r="C3" s="734"/>
      <c r="D3" s="734"/>
      <c r="E3" s="734"/>
      <c r="F3" s="734"/>
      <c r="G3" s="745"/>
      <c r="H3" s="734"/>
      <c r="I3" s="731"/>
      <c r="J3" s="731"/>
      <c r="K3" s="726"/>
      <c r="L3" s="726"/>
      <c r="M3" s="731"/>
      <c r="N3" s="729"/>
      <c r="O3" s="722"/>
      <c r="P3" s="722"/>
      <c r="Q3" s="724"/>
    </row>
    <row r="4" spans="1:17" ht="17" thickBot="1" x14ac:dyDescent="0.4">
      <c r="A4" s="753"/>
      <c r="B4" s="750"/>
      <c r="C4" s="747"/>
      <c r="D4" s="734"/>
      <c r="E4" s="734"/>
      <c r="F4" s="747"/>
      <c r="G4" s="746"/>
      <c r="H4" s="743"/>
      <c r="I4" s="732"/>
      <c r="J4" s="732"/>
      <c r="K4" s="726"/>
      <c r="L4" s="727"/>
      <c r="M4" s="732"/>
      <c r="N4" s="184" t="s">
        <v>315</v>
      </c>
      <c r="O4" s="184" t="s">
        <v>316</v>
      </c>
      <c r="P4" s="184" t="s">
        <v>317</v>
      </c>
      <c r="Q4" s="185" t="s">
        <v>317</v>
      </c>
    </row>
    <row r="5" spans="1:17" ht="29" x14ac:dyDescent="0.35">
      <c r="A5" s="166" t="str">
        <f>Dashboard!$C$4</f>
        <v>Spot Cleaning, Wipe Cleaning and Carpet Cleaning</v>
      </c>
      <c r="B5" s="167" t="str">
        <f>VLOOKUP($A5,'Dermal Crosswalk'!$A$3:$G$25,2,FALSE)</f>
        <v>Spot Cleaning</v>
      </c>
      <c r="C5" s="167" t="str">
        <f>Dashboard!$L$4</f>
        <v>Average Adult Worker</v>
      </c>
      <c r="D5" s="167" t="s">
        <v>151</v>
      </c>
      <c r="E5" s="167" t="s">
        <v>89</v>
      </c>
      <c r="F5" s="214">
        <f>VLOOKUP($A5,'Dermal Crosswalk'!$A$3:$G$25,3,FALSE)</f>
        <v>4</v>
      </c>
      <c r="G5" s="215">
        <f>VLOOKUP($A5,'Dermal Crosswalk'!$A$3:$G$25,4,FALSE)</f>
        <v>1</v>
      </c>
      <c r="H5" s="215">
        <f>IF($D5="No Gloves",VLOOKUP($A5,'Dermal Crosswalk'!$A$3:$G$25,6,FALSE),VLOOKUP($A5,'Dermal Crosswalk'!$A$3:$G$25,7,FALSE))</f>
        <v>0.12881151022869558</v>
      </c>
      <c r="I5" s="214">
        <f>VLOOKUP(A5,'Inhalation Exposure'!$C$4:$P$46,MATCH($E5,'Inhalation Exposure'!$F$3:$G$3,0)+3,FALSE)</f>
        <v>293</v>
      </c>
      <c r="J5" s="214">
        <v>1</v>
      </c>
      <c r="K5" s="216">
        <f>IF(E5="High End",HLOOKUP($C5,'Exposure Factors'!$C$3:$D$9,4,FALSE),HLOOKUP($C5,'Exposure Factors'!$C$3:$D$9,3,FALSE))</f>
        <v>1070</v>
      </c>
      <c r="L5" s="214">
        <f>HLOOKUP($C5,'Exposure Factors'!$C$3:$D$9,2,FALSE)</f>
        <v>80</v>
      </c>
      <c r="M5" s="217">
        <v>2.1</v>
      </c>
      <c r="N5" s="186">
        <f>IFERROR(K5*M5*H5*G5*J5,"Not Assessed")</f>
        <v>289.43946348387897</v>
      </c>
      <c r="O5" s="186">
        <f>IFERROR($N5/L5,"Not Assessed")</f>
        <v>3.6179932935484871</v>
      </c>
      <c r="P5" s="187">
        <f>IFERROR($O5*$I5*HLOOKUP($C5,'Exposure Factors'!$C$3:$D$9,MATCH($E5,'Exposure Factors'!$E$7:$E$8,0)+4,FALSE)/(365*HLOOKUP($C5,'Exposure Factors'!$C$3:$D$9,MATCH($E5,'Exposure Factors'!$E$7:$E$8,0)+4,FALSE)),"Not Assessed")</f>
        <v>2.9043069452320736</v>
      </c>
      <c r="Q5" s="319">
        <f>IFERROR($O5*$I5*HLOOKUP($C5,'Exposure Factors'!$C$3:$D$9,MATCH($E5,'Exposure Factors'!$E$7:$E$8,0)+4,FALSE)/(365*HLOOKUP($C5,'Exposure Factors'!$C$3:$D$9,7,FALSE)),"Not Assessed")</f>
        <v>1.4893881770420889</v>
      </c>
    </row>
    <row r="6" spans="1:17" ht="29.5" thickBot="1" x14ac:dyDescent="0.4">
      <c r="A6" s="188" t="str">
        <f>Dashboard!$C$4</f>
        <v>Spot Cleaning, Wipe Cleaning and Carpet Cleaning</v>
      </c>
      <c r="B6" s="189" t="str">
        <f>VLOOKUP($A6,'Dermal Crosswalk'!$A$3:$G$25,2,FALSE)</f>
        <v>Spot Cleaning</v>
      </c>
      <c r="C6" s="189" t="str">
        <f>Dashboard!$L$4</f>
        <v>Average Adult Worker</v>
      </c>
      <c r="D6" s="189" t="s">
        <v>151</v>
      </c>
      <c r="E6" s="189" t="s">
        <v>92</v>
      </c>
      <c r="F6" s="218">
        <f>VLOOKUP($A6,'Dermal Crosswalk'!$A$3:$G$25,3,FALSE)</f>
        <v>4</v>
      </c>
      <c r="G6" s="219">
        <f>VLOOKUP($A6,'Dermal Crosswalk'!$A$3:$G$25,4,FALSE)</f>
        <v>1</v>
      </c>
      <c r="H6" s="219">
        <f>IF($D6="No Gloves",VLOOKUP($A6,'Dermal Crosswalk'!$A$3:$G$25,6,FALSE),VLOOKUP($A6,'Dermal Crosswalk'!$A$3:$G$25,7,FALSE))</f>
        <v>0.12881151022869558</v>
      </c>
      <c r="I6" s="218">
        <f>VLOOKUP(A6,'Inhalation Exposure'!$C$4:$P$46,MATCH($E6,'Inhalation Exposure'!$F$3:$G$3,0)+3,FALSE)</f>
        <v>258</v>
      </c>
      <c r="J6" s="218">
        <v>1</v>
      </c>
      <c r="K6" s="220">
        <f>IF(E6="High End",HLOOKUP($C6,'Exposure Factors'!$C$3:$D$9,4,FALSE),HLOOKUP($C6,'Exposure Factors'!$C$3:$D$9,3,FALSE))</f>
        <v>535</v>
      </c>
      <c r="L6" s="218">
        <f>HLOOKUP($C6,'Exposure Factors'!$C$3:$D$9,2,FALSE)</f>
        <v>80</v>
      </c>
      <c r="M6" s="221">
        <v>1.4</v>
      </c>
      <c r="N6" s="190">
        <f t="shared" ref="N6" si="0">IFERROR(K6*M6*H6*G6*J6,"Not Assessed")</f>
        <v>96.479821161292989</v>
      </c>
      <c r="O6" s="190">
        <f t="shared" ref="O6" si="1">IFERROR($N6/L6,"Not Assessed")</f>
        <v>1.2059977645161624</v>
      </c>
      <c r="P6" s="191">
        <f>IFERROR($O6*$I6*HLOOKUP($C6,'Exposure Factors'!$C$3:$D$9,MATCH($E6,'Exposure Factors'!$E$7:$E$8,0)+4,FALSE)/(365*HLOOKUP($C6,'Exposure Factors'!$C$3:$D$9,MATCH($E6,'Exposure Factors'!$E$7:$E$8,0)+4,FALSE)),"Not Assessed")</f>
        <v>0.85245869382238326</v>
      </c>
      <c r="Q6" s="320">
        <f>IFERROR($O6*$I6*HLOOKUP($C6,'Exposure Factors'!$C$3:$D$9,MATCH($E6,'Exposure Factors'!$E$7:$E$8,0)+4,FALSE)/(365*HLOOKUP($C6,'Exposure Factors'!$C$3:$D$9,7,FALSE)),"Not Assessed")</f>
        <v>0.33879768600633181</v>
      </c>
    </row>
    <row r="7" spans="1:17" ht="15" thickBot="1" x14ac:dyDescent="0.4">
      <c r="A7" s="737" t="s">
        <v>318</v>
      </c>
      <c r="B7" s="738"/>
      <c r="C7" s="738"/>
      <c r="D7" s="738"/>
      <c r="E7" s="738"/>
      <c r="F7" s="739"/>
      <c r="G7" s="237"/>
      <c r="H7" s="237"/>
      <c r="I7" s="237"/>
      <c r="J7" s="237"/>
      <c r="K7" s="237"/>
      <c r="L7" s="237"/>
      <c r="M7" s="237"/>
      <c r="N7" s="321"/>
      <c r="O7" s="321"/>
      <c r="P7" s="321"/>
      <c r="Q7" s="322"/>
    </row>
    <row r="8" spans="1:17" ht="29" x14ac:dyDescent="0.35">
      <c r="A8" s="166" t="str">
        <f>RR!$H$4</f>
        <v>Spot Cleaning, Wipe Cleaning and Carpet Cleaning</v>
      </c>
      <c r="B8" s="167" t="str">
        <f>VLOOKUP($A8,'Dermal Crosswalk'!$A$3:$G$25,2,FALSE)</f>
        <v>Spot Cleaning</v>
      </c>
      <c r="C8" s="167" t="str">
        <f>RR!$S$4</f>
        <v>Average Adult Worker</v>
      </c>
      <c r="D8" s="167" t="s">
        <v>151</v>
      </c>
      <c r="E8" s="167" t="s">
        <v>89</v>
      </c>
      <c r="F8" s="214">
        <f>VLOOKUP($A8,'Dermal Crosswalk'!$A$3:$G$25,3,FALSE)</f>
        <v>4</v>
      </c>
      <c r="G8" s="215">
        <f>VLOOKUP($A8,'Dermal Crosswalk'!$A$3:$G$25,4,FALSE)</f>
        <v>1</v>
      </c>
      <c r="H8" s="215">
        <f>IF($D8="No Gloves",VLOOKUP($A8,'Dermal Crosswalk'!$A$3:$G$25,6,FALSE),VLOOKUP($A8,'Dermal Crosswalk'!$A$3:$G$25,7,FALSE))</f>
        <v>0.12881151022869558</v>
      </c>
      <c r="I8" s="214">
        <f>VLOOKUP(A8,'Inhalation Exposure'!$C$4:$P$46,MATCH($E8,'Inhalation Exposure'!$F$3:$G$3,0)+3,FALSE)</f>
        <v>293</v>
      </c>
      <c r="J8" s="214">
        <v>1</v>
      </c>
      <c r="K8" s="216">
        <f>IF(E8="High End",HLOOKUP($C8,'Exposure Factors'!$C$3:$D$9,4,FALSE),HLOOKUP($C8,'Exposure Factors'!$C$3:$D$9,3,FALSE))</f>
        <v>1070</v>
      </c>
      <c r="L8" s="214">
        <f>HLOOKUP($C8,'Exposure Factors'!$C$3:$D$9,2,FALSE)</f>
        <v>80</v>
      </c>
      <c r="M8" s="217">
        <v>2.1</v>
      </c>
      <c r="N8" s="186">
        <f>IFERROR(K8*M8*H8*G8*J8,"Not Assessed")</f>
        <v>289.43946348387897</v>
      </c>
      <c r="O8" s="186">
        <f>IFERROR($N8/L8,"Not Assessed")</f>
        <v>3.6179932935484871</v>
      </c>
      <c r="P8" s="187">
        <f>IFERROR($O8*$I8*HLOOKUP($C8,'Exposure Factors'!$C$3:$D$9,MATCH($E8,'Exposure Factors'!$E$7:$E$8,0)+4,FALSE)/(365*HLOOKUP($C8,'Exposure Factors'!$C$3:$D$9,MATCH($E8,'Exposure Factors'!$E$7:$E$8,0)+4,FALSE)),"Not Assessed")</f>
        <v>2.9043069452320736</v>
      </c>
      <c r="Q8" s="319">
        <f>IFERROR($O8*$I8*HLOOKUP($C8,'Exposure Factors'!$C$3:$D$9,MATCH($E8,'Exposure Factors'!$E$7:$E$8,0)+4,FALSE)/(365*HLOOKUP($C8,'Exposure Factors'!$C$3:$D$9,7,FALSE)),"Not Assessed")</f>
        <v>1.4893881770420889</v>
      </c>
    </row>
    <row r="9" spans="1:17" ht="29" x14ac:dyDescent="0.35">
      <c r="A9" s="188" t="str">
        <f>RR!$H$4</f>
        <v>Spot Cleaning, Wipe Cleaning and Carpet Cleaning</v>
      </c>
      <c r="B9" s="189" t="str">
        <f>VLOOKUP($A9,'Dermal Crosswalk'!$A$3:$G$25,2,FALSE)</f>
        <v>Spot Cleaning</v>
      </c>
      <c r="C9" s="189" t="str">
        <f>RR!$S$4</f>
        <v>Average Adult Worker</v>
      </c>
      <c r="D9" s="189" t="s">
        <v>151</v>
      </c>
      <c r="E9" s="189" t="s">
        <v>92</v>
      </c>
      <c r="F9" s="218">
        <f>VLOOKUP($A9,'Dermal Crosswalk'!$A$3:$G$25,3,FALSE)</f>
        <v>4</v>
      </c>
      <c r="G9" s="219">
        <f>VLOOKUP($A9,'Dermal Crosswalk'!$A$3:$G$25,4,FALSE)</f>
        <v>1</v>
      </c>
      <c r="H9" s="219">
        <f>IF($D9="No Gloves",VLOOKUP($A9,'Dermal Crosswalk'!$A$3:$G$25,6,FALSE),VLOOKUP($A9,'Dermal Crosswalk'!$A$3:$G$25,7,FALSE))</f>
        <v>0.12881151022869558</v>
      </c>
      <c r="I9" s="218">
        <f>VLOOKUP(A9,'Inhalation Exposure'!$C$4:$P$46,MATCH($E9,'Inhalation Exposure'!$F$3:$G$3,0)+3,FALSE)</f>
        <v>258</v>
      </c>
      <c r="J9" s="218">
        <v>1</v>
      </c>
      <c r="K9" s="220">
        <f>IF(E9="High End",HLOOKUP($C9,'Exposure Factors'!$C$3:$D$9,4,FALSE),HLOOKUP($C9,'Exposure Factors'!$C$3:$D$9,3,FALSE))</f>
        <v>535</v>
      </c>
      <c r="L9" s="218">
        <f>HLOOKUP($C9,'Exposure Factors'!$C$3:$D$9,2,FALSE)</f>
        <v>80</v>
      </c>
      <c r="M9" s="221">
        <v>1.4</v>
      </c>
      <c r="N9" s="190">
        <f t="shared" ref="N9" si="2">IFERROR(K9*M9*H9*G9*J9,"Not Assessed")</f>
        <v>96.479821161292989</v>
      </c>
      <c r="O9" s="190">
        <f t="shared" ref="O9" si="3">IFERROR($N9/L9,"Not Assessed")</f>
        <v>1.2059977645161624</v>
      </c>
      <c r="P9" s="191">
        <f>IFERROR($O9*$I9*HLOOKUP($C9,'Exposure Factors'!$C$3:$D$9,MATCH($E9,'Exposure Factors'!$E$7:$E$8,0)+4,FALSE)/(365*HLOOKUP($C9,'Exposure Factors'!$C$3:$D$9,MATCH($E9,'Exposure Factors'!$E$7:$E$8,0)+4,FALSE)),"Not Assessed")</f>
        <v>0.85245869382238326</v>
      </c>
      <c r="Q9" s="320">
        <f>IFERROR($O9*$I9*HLOOKUP($C9,'Exposure Factors'!$C$3:$D$9,MATCH($E9,'Exposure Factors'!$E$7:$E$8,0)+4,FALSE)/(365*HLOOKUP($C9,'Exposure Factors'!$C$3:$D$9,7,FALSE)),"Not Assessed")</f>
        <v>0.33879768600633181</v>
      </c>
    </row>
    <row r="10" spans="1:17" x14ac:dyDescent="0.35">
      <c r="N10" s="181"/>
      <c r="Q10" s="182"/>
    </row>
    <row r="11" spans="1:17" x14ac:dyDescent="0.35">
      <c r="N11" s="181"/>
      <c r="Q11" s="182"/>
    </row>
    <row r="12" spans="1:17" x14ac:dyDescent="0.35">
      <c r="N12" s="181"/>
      <c r="Q12" s="182"/>
    </row>
    <row r="13" spans="1:17" x14ac:dyDescent="0.35">
      <c r="N13" s="181"/>
      <c r="Q13" s="182"/>
    </row>
    <row r="14" spans="1:17" x14ac:dyDescent="0.35">
      <c r="N14" s="181"/>
      <c r="Q14" s="182"/>
    </row>
    <row r="15" spans="1:17" x14ac:dyDescent="0.35">
      <c r="N15" s="181"/>
      <c r="Q15" s="182"/>
    </row>
    <row r="16" spans="1:17" x14ac:dyDescent="0.35">
      <c r="N16" s="181"/>
      <c r="Q16" s="182"/>
    </row>
    <row r="17" spans="14:17" x14ac:dyDescent="0.35">
      <c r="N17" s="181"/>
      <c r="Q17" s="182"/>
    </row>
    <row r="18" spans="14:17" x14ac:dyDescent="0.35">
      <c r="N18" s="181"/>
      <c r="Q18" s="182"/>
    </row>
    <row r="19" spans="14:17" x14ac:dyDescent="0.35">
      <c r="N19" s="181"/>
      <c r="Q19" s="182"/>
    </row>
    <row r="20" spans="14:17" x14ac:dyDescent="0.35">
      <c r="N20" s="181"/>
      <c r="Q20" s="182"/>
    </row>
    <row r="21" spans="14:17" x14ac:dyDescent="0.35">
      <c r="N21" s="181"/>
      <c r="Q21" s="182"/>
    </row>
    <row r="22" spans="14:17" x14ac:dyDescent="0.35">
      <c r="N22" s="181"/>
      <c r="Q22" s="182"/>
    </row>
    <row r="23" spans="14:17" x14ac:dyDescent="0.35">
      <c r="N23" s="181"/>
      <c r="Q23" s="182"/>
    </row>
    <row r="24" spans="14:17" x14ac:dyDescent="0.35">
      <c r="N24" s="181"/>
      <c r="Q24" s="182"/>
    </row>
  </sheetData>
  <sheetProtection algorithmName="SHA-512" hashValue="RZxaQy/WSyxxFX0BkHF+sVAKE2aq6B25UdRIAymy9pZpglVDj1hBTpJW4BrBq8iuS9yr4Iv+07+kfaIpJsydaQ==" saltValue="5SF6DCDmAjeG44ZMPPuwtw==" spinCount="100000" sheet="1" objects="1" scenarios="1"/>
  <mergeCells count="21">
    <mergeCell ref="E2:E4"/>
    <mergeCell ref="A1:F1"/>
    <mergeCell ref="A7:F7"/>
    <mergeCell ref="G1:M1"/>
    <mergeCell ref="H2:H4"/>
    <mergeCell ref="G2:G4"/>
    <mergeCell ref="J2:J4"/>
    <mergeCell ref="I2:I4"/>
    <mergeCell ref="D2:D4"/>
    <mergeCell ref="C2:C4"/>
    <mergeCell ref="B2:B4"/>
    <mergeCell ref="F2:F4"/>
    <mergeCell ref="A2:A4"/>
    <mergeCell ref="N1:Q1"/>
    <mergeCell ref="O2:O3"/>
    <mergeCell ref="Q2:Q3"/>
    <mergeCell ref="K2:K4"/>
    <mergeCell ref="L2:L4"/>
    <mergeCell ref="N2:N3"/>
    <mergeCell ref="P2:P3"/>
    <mergeCell ref="M2:M4"/>
  </mergeCells>
  <conditionalFormatting sqref="P5:Q6">
    <cfRule type="cellIs" dxfId="144" priority="11" operator="lessThanOrEqual">
      <formula>0.01</formula>
    </cfRule>
    <cfRule type="cellIs" dxfId="143" priority="12" operator="greaterThan">
      <formula>0.01</formula>
    </cfRule>
  </conditionalFormatting>
  <conditionalFormatting sqref="P8:Q9">
    <cfRule type="cellIs" dxfId="142" priority="1" operator="lessThanOrEqual">
      <formula>0.01</formula>
    </cfRule>
    <cfRule type="cellIs" dxfId="141" priority="2" operator="greaterThan">
      <formula>0.01</formula>
    </cfRule>
  </conditionalFormatting>
  <dataValidations count="1">
    <dataValidation allowBlank="1" showErrorMessage="1" sqref="N2 N4" xr:uid="{00000000-0002-0000-0500-000000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3661BA7A30E44BF70298DE2DA597E" ma:contentTypeVersion="36" ma:contentTypeDescription="Create a new document." ma:contentTypeScope="" ma:versionID="009cfb013ff91c7187e5594ca2c5077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9b4c45a-1b26-41a9-bc60-c2053a476731" xmlns:ns6="fecc2597-e8fd-4279-ac06-bd7c891938be" targetNamespace="http://schemas.microsoft.com/office/2006/metadata/properties" ma:root="true" ma:fieldsID="02f22143832be6860012873986ecaa56" ns1:_="" ns2:_="" ns3:_="" ns4:_="" ns5:_="" ns6:_="">
    <xsd:import namespace="http://schemas.microsoft.com/sharepoint/v3"/>
    <xsd:import namespace="4ffa91fb-a0ff-4ac5-b2db-65c790d184a4"/>
    <xsd:import namespace="http://schemas.microsoft.com/sharepoint.v3"/>
    <xsd:import namespace="http://schemas.microsoft.com/sharepoint/v3/fields"/>
    <xsd:import namespace="b9b4c45a-1b26-41a9-bc60-c2053a476731"/>
    <xsd:import namespace="fecc2597-e8fd-4279-ac06-bd7c891938b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DocType" minOccurs="0"/>
                <xsd:element ref="ns5:DocStatus" minOccurs="0"/>
                <xsd:element ref="ns5:PubDate" minOccurs="0"/>
                <xsd:element ref="ns6:SharedWithUsers" minOccurs="0"/>
                <xsd:element ref="ns6:SharedWithDetails"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b4c45a-1b26-41a9-bc60-c2053a476731" elementFormDefault="qualified">
    <xsd:import namespace="http://schemas.microsoft.com/office/2006/documentManagement/types"/>
    <xsd:import namespace="http://schemas.microsoft.com/office/infopath/2007/PartnerControls"/>
    <xsd:element name="DocType" ma:index="28" nillable="true" ma:displayName="DocType" ma:default="Article" ma:format="Dropdown" ma:internalName="DocType">
      <xsd:simpleType>
        <xsd:restriction base="dms:Choice">
          <xsd:enumeration value="Article"/>
          <xsd:enumeration value="Assessment"/>
          <xsd:enumeration value="Briefing"/>
          <xsd:enumeration value="EndNote library"/>
          <xsd:enumeration value="Meeting summary"/>
          <xsd:enumeration value="Presentation"/>
          <xsd:enumeration value="Public Comments"/>
          <xsd:enumeration value="Recommendations"/>
          <xsd:enumeration value="Report"/>
          <xsd:enumeration value="Schedule"/>
          <xsd:enumeration value="VCCEP submission"/>
        </xsd:restriction>
      </xsd:simpleType>
    </xsd:element>
    <xsd:element name="DocStatus" ma:index="29" nillable="true" ma:displayName="DocStatus" ma:default="Published" ma:format="Dropdown" ma:internalName="DocStatus">
      <xsd:simpleType>
        <xsd:restriction base="dms:Choice">
          <xsd:enumeration value="Draft"/>
          <xsd:enumeration value="External Review Draft"/>
          <xsd:enumeration value="Final"/>
          <xsd:enumeration value="Initial draft"/>
          <xsd:enumeration value="Published"/>
          <xsd:enumeration value="Working"/>
        </xsd:restriction>
      </xsd:simpleType>
    </xsd:element>
    <xsd:element name="PubDate" ma:index="30" nillable="true" ma:displayName="PubDate" ma:internalName="PubDate">
      <xsd:simpleType>
        <xsd:restriction base="dms:Text">
          <xsd:maxLength value="4"/>
        </xsd:restriction>
      </xsd:simpleType>
    </xsd:element>
    <xsd:element name="MediaServiceMetadata" ma:index="33" nillable="true" ma:displayName="MediaServiceMetadata" ma:description="" ma:hidden="true" ma:internalName="MediaServiceMetadata" ma:readOnly="true">
      <xsd:simpleType>
        <xsd:restriction base="dms:Note"/>
      </xsd:simpleType>
    </xsd:element>
    <xsd:element name="MediaServiceFastMetadata" ma:index="34"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cc2597-e8fd-4279-ac06-bd7c891938be"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DocStatus xmlns="b9b4c45a-1b26-41a9-bc60-c2053a476731">Published</DocStatus>
    <j747ac98061d40f0aa7bd47e1db5675d xmlns="4ffa91fb-a0ff-4ac5-b2db-65c790d184a4">
      <Terms xmlns="http://schemas.microsoft.com/office/infopath/2007/PartnerControls"/>
    </j747ac98061d40f0aa7bd47e1db5675d>
    <DocType xmlns="b9b4c45a-1b26-41a9-bc60-c2053a476731">Article</DocType>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inhalation</TermName>
          <TermId xmlns="http://schemas.microsoft.com/office/infopath/2007/PartnerControls">db4a6ec7-8408-4f3a-99f3-1ea458bcea3a</TermId>
        </TermInfo>
        <TermInfo xmlns="http://schemas.microsoft.com/office/infopath/2007/PartnerControls">
          <TermName xmlns="http://schemas.microsoft.com/office/infopath/2007/PartnerControls">calculator</TermName>
          <TermId xmlns="http://schemas.microsoft.com/office/infopath/2007/PartnerControls">0385d1d1-befc-4a2b-b34a-0bc52767117e</TermId>
        </TermInfo>
        <TermInfo xmlns="http://schemas.microsoft.com/office/infopath/2007/PartnerControls">
          <TermName xmlns="http://schemas.microsoft.com/office/infopath/2007/PartnerControls">dermal</TermName>
          <TermId xmlns="http://schemas.microsoft.com/office/infopath/2007/PartnerControls">8513d648-c7f1-420f-adef-983e3bed9b2c</TermId>
        </TermInfo>
        <TermInfo xmlns="http://schemas.microsoft.com/office/infopath/2007/PartnerControls">
          <TermName xmlns="http://schemas.microsoft.com/office/infopath/2007/PartnerControls">Risk</TermName>
          <TermId xmlns="http://schemas.microsoft.com/office/infopath/2007/PartnerControls">18524c7e-27cc-419c-9f60-538948708f3d</TermId>
        </TermInfo>
        <TermInfo xmlns="http://schemas.microsoft.com/office/infopath/2007/PartnerControls">
          <TermName xmlns="http://schemas.microsoft.com/office/infopath/2007/PartnerControls">worker</TermName>
          <TermId xmlns="http://schemas.microsoft.com/office/infopath/2007/PartnerControls">f57069d1-15e2-4b18-bb20-54638072e2c6</TermId>
        </TermInfo>
        <TermInfo xmlns="http://schemas.microsoft.com/office/infopath/2007/PartnerControls">
          <TermName xmlns="http://schemas.microsoft.com/office/infopath/2007/PartnerControls">Exposure</TermName>
          <TermId xmlns="http://schemas.microsoft.com/office/infopath/2007/PartnerControls">44a40c17-e1b9-4157-a85d-d32620a2144a</TermId>
        </TermInfo>
        <TermInfo xmlns="http://schemas.microsoft.com/office/infopath/2007/PartnerControls">
          <TermName xmlns="http://schemas.microsoft.com/office/infopath/2007/PartnerControls">occupational</TermName>
          <TermId xmlns="http://schemas.microsoft.com/office/infopath/2007/PartnerControls">4eaca312-31b2-4d01-8adc-174ba9820bec</TermId>
        </TermInfo>
      </Terms>
    </TaxKeywordTaxHTField>
    <Record xmlns="4ffa91fb-a0ff-4ac5-b2db-65c790d184a4">Shared</Record>
    <Rights xmlns="4ffa91fb-a0ff-4ac5-b2db-65c790d184a4" xsi:nil="true"/>
    <Document_x0020_Creation_x0020_Date xmlns="4ffa91fb-a0ff-4ac5-b2db-65c790d184a4">2020-09-28T22:23:25+00:00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PubDate xmlns="b9b4c45a-1b26-41a9-bc60-c2053a476731" xsi:nil="true"/>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117</Value>
      <Value>1272</Value>
      <Value>1202</Value>
      <Value>1198</Value>
      <Value>92</Value>
      <Value>1193</Value>
      <Value>1266</Value>
      <Value>1205</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C08D120C-9A47-488C-8C00-6FBCCE154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9b4c45a-1b26-41a9-bc60-c2053a476731"/>
    <ds:schemaRef ds:uri="fecc2597-e8fd-4279-ac06-bd7c89193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0870F-C957-48E1-BEF4-D7C68644DC21}">
  <ds:schemaRefs>
    <ds:schemaRef ds:uri="http://schemas.microsoft.com/office/2006/metadata/properties"/>
    <ds:schemaRef ds:uri="http://purl.org/dc/dcmitype/"/>
    <ds:schemaRef ds:uri="http://schemas.microsoft.com/sharepoint/v3"/>
    <ds:schemaRef ds:uri="http://schemas.openxmlformats.org/package/2006/metadata/core-properties"/>
    <ds:schemaRef ds:uri="http://schemas.microsoft.com/sharepoint/v3/fields"/>
    <ds:schemaRef ds:uri="http://schemas.microsoft.com/office/infopath/2007/PartnerControls"/>
    <ds:schemaRef ds:uri="fecc2597-e8fd-4279-ac06-bd7c891938be"/>
    <ds:schemaRef ds:uri="http://schemas.microsoft.com/office/2006/documentManagement/types"/>
    <ds:schemaRef ds:uri="http://purl.org/dc/elements/1.1/"/>
    <ds:schemaRef ds:uri="4ffa91fb-a0ff-4ac5-b2db-65c790d184a4"/>
    <ds:schemaRef ds:uri="http://schemas.microsoft.com/sharepoint.v3"/>
    <ds:schemaRef ds:uri="b9b4c45a-1b26-41a9-bc60-c2053a476731"/>
    <ds:schemaRef ds:uri="http://www.w3.org/XML/1998/namespace"/>
    <ds:schemaRef ds:uri="http://purl.org/dc/terms/"/>
  </ds:schemaRefs>
</ds:datastoreItem>
</file>

<file path=customXml/itemProps3.xml><?xml version="1.0" encoding="utf-8"?>
<ds:datastoreItem xmlns:ds="http://schemas.openxmlformats.org/officeDocument/2006/customXml" ds:itemID="{C57FF92A-2C91-4468-B958-BF71D85726DD}">
  <ds:schemaRefs>
    <ds:schemaRef ds:uri="http://schemas.microsoft.com/sharepoint/v3/contenttype/forms"/>
  </ds:schemaRefs>
</ds:datastoreItem>
</file>

<file path=customXml/itemProps4.xml><?xml version="1.0" encoding="utf-8"?>
<ds:datastoreItem xmlns:ds="http://schemas.openxmlformats.org/officeDocument/2006/customXml" ds:itemID="{1CBD1385-1C19-4884-B57D-1AEDF3FAD18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 Page</vt:lpstr>
      <vt:lpstr>Table of Contents</vt:lpstr>
      <vt:lpstr>ReadMe</vt:lpstr>
      <vt:lpstr>Dashboard</vt:lpstr>
      <vt:lpstr>RR</vt:lpstr>
      <vt:lpstr>RR &lt;PEL</vt:lpstr>
      <vt:lpstr>Health Data</vt:lpstr>
      <vt:lpstr>Dermal Crosswalk</vt:lpstr>
      <vt:lpstr>Dermal Exposure</vt:lpstr>
      <vt:lpstr>Inhalation Exposure</vt:lpstr>
      <vt:lpstr>Inhalation &lt; PEL</vt:lpstr>
      <vt:lpstr>List Values</vt:lpstr>
      <vt:lpstr>Exposure Factors</vt:lpstr>
      <vt:lpstr>AT</vt:lpstr>
      <vt:lpstr>AT_ADC_high</vt:lpstr>
      <vt:lpstr>AT_ADC_mid</vt:lpstr>
      <vt:lpstr>AT_LADC</vt:lpstr>
      <vt:lpstr>ED_12</vt:lpstr>
      <vt:lpstr>ED_8</vt:lpstr>
      <vt:lpstr>EF</vt:lpstr>
      <vt:lpstr>LT</vt:lpstr>
      <vt:lpstr>Mol_Vol</vt:lpstr>
      <vt:lpstr>MW</vt:lpstr>
      <vt:lpstr>WY_high</vt:lpstr>
      <vt:lpstr>WY_mid</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Trichloroethylene Supplemental Information File: Risk Calculator</dc:title>
  <dc:subject>Trichloroethylene Risk Calculator for Occupational Exposures</dc:subject>
  <dc:creator>US EPA</dc:creator>
  <cp:keywords>risk, calculator, exposure, inhalation, dermal, occupational, worker ;</cp:keywords>
  <dc:description/>
  <cp:lastModifiedBy>Jacobs, Keith</cp:lastModifiedBy>
  <cp:revision/>
  <dcterms:created xsi:type="dcterms:W3CDTF">2014-03-17T14:32:48Z</dcterms:created>
  <dcterms:modified xsi:type="dcterms:W3CDTF">2020-11-12T21:10:38Z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0x010100B4F3661BA7A30E44BF70298DE2DA597E</vt:lpwstr>
  </property>
  <property fmtid="{D5CDD505-2E9C-101B-9397-08002B2CF9AE}" pid="3" name="TaxKeyword">
    <vt:lpwstr>1205;#inhalation|db4a6ec7-8408-4f3a-99f3-1ea458bcea3a;#1272;#calculator|0385d1d1-befc-4a2b-b34a-0bc52767117e;#1202;#dermal|8513d648-c7f1-420f-adef-983e3bed9b2c;#117;#Risk|18524c7e-27cc-419c-9f60-538948708f3d;#92;#worker|f57069d1-15e2-4b18-bb20-54638072e2c6;#1193;#Exposure|44a40c17-e1b9-4157-a85d-d32620a2144a;#1266;#occupational|4eaca312-31b2-4d01-8adc-174ba9820bec</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