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https://usepa.sharepoint.com/sites/ocspp_Work/wpc/perc/Shared Documents/Risk Evaluation/Public Comment, SACC comment and Final draft/Supplemental Files for Final RE Publication/Final Supplementals for Publication/"/>
    </mc:Choice>
  </mc:AlternateContent>
  <xr:revisionPtr revIDLastSave="311" documentId="13_ncr:1_{D8B1F828-81E8-485D-972E-01A5B40B4D99}" xr6:coauthVersionLast="45" xr6:coauthVersionMax="45" xr10:uidLastSave="{2FD7D519-5DA0-4840-9858-DB556BB29B0D}"/>
  <bookViews>
    <workbookView xWindow="-110" yWindow="-110" windowWidth="19420" windowHeight="10560" tabRatio="724" xr2:uid="{DB6A0903-DAE5-4C5E-BDCF-C4452756BBFA}"/>
  </bookViews>
  <sheets>
    <sheet name="Cover Page" sheetId="44" r:id="rId1"/>
    <sheet name="Read Me" sheetId="43" r:id="rId2"/>
    <sheet name="Dashboard" sheetId="31" r:id="rId3"/>
    <sheet name="RR" sheetId="40" r:id="rId4"/>
    <sheet name="Inhalation Exposure" sheetId="37" r:id="rId5"/>
    <sheet name="Dermal Crosswalk" sheetId="41" r:id="rId6"/>
    <sheet name="Dermal Exposure" sheetId="42" r:id="rId7"/>
    <sheet name="Exposure Factors" sheetId="38" r:id="rId8"/>
    <sheet name="Hazard Values" sheetId="39" r:id="rId9"/>
    <sheet name="List Values" sheetId="35" r:id="rId10"/>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definedName>
    <definedName name="_AtRisk_SimSetting_ConvergenceTolerance" hidden="1">0.01</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15</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9" hidden="1">'List Values'!$B$1:$B$22</definedName>
    <definedName name="AT">'List Values'!$H$12</definedName>
    <definedName name="AT_ADC_high">'List Values'!$H$18</definedName>
    <definedName name="AT_ADC_mid">'List Values'!$H$17</definedName>
    <definedName name="AT_LADC">'List Values'!$H$19</definedName>
    <definedName name="ED_12">'List Values'!$H$11</definedName>
    <definedName name="ED_8">'List Values'!$H$10</definedName>
    <definedName name="EF">'List Values'!$H$13</definedName>
    <definedName name="LT">'List Values'!$H$16</definedName>
    <definedName name="Mol_Vol">'List Values'!$G$7</definedName>
    <definedName name="MW">'List Values'!$G$6</definedName>
    <definedName name="Pal_Workbook_GUID" hidden="1">"QFFA8IQU6YFGRFCXE7L4LIWR"</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olver_adj" localSheetId="3" hidden="1">RR!#REF!</definedName>
    <definedName name="solver_cvg" localSheetId="3" hidden="1">0.0001</definedName>
    <definedName name="solver_drv" localSheetId="3" hidden="1">1</definedName>
    <definedName name="solver_eng" localSheetId="3" hidden="1">1</definedName>
    <definedName name="solver_est" localSheetId="3" hidden="1">1</definedName>
    <definedName name="solver_itr" localSheetId="3" hidden="1">2147483647</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3" hidden="1">1</definedName>
    <definedName name="solver_nod" localSheetId="3" hidden="1">2147483647</definedName>
    <definedName name="solver_num" localSheetId="3" hidden="1">0</definedName>
    <definedName name="solver_nwt" localSheetId="3" hidden="1">1</definedName>
    <definedName name="solver_opt" localSheetId="3" hidden="1">RR!#REF!</definedName>
    <definedName name="solver_pre" localSheetId="3" hidden="1">0.000001</definedName>
    <definedName name="solver_rbv" localSheetId="3" hidden="1">1</definedName>
    <definedName name="solver_rlx" localSheetId="3" hidden="1">2</definedName>
    <definedName name="solver_rsd" localSheetId="3" hidden="1">0</definedName>
    <definedName name="solver_scl" localSheetId="3" hidden="1">1</definedName>
    <definedName name="solver_sho" localSheetId="3" hidden="1">2</definedName>
    <definedName name="solver_ssz" localSheetId="3" hidden="1">100</definedName>
    <definedName name="solver_tim" localSheetId="3" hidden="1">2147483647</definedName>
    <definedName name="solver_tol" localSheetId="3" hidden="1">0.01</definedName>
    <definedName name="solver_typ" localSheetId="3" hidden="1">3</definedName>
    <definedName name="solver_val" localSheetId="3" hidden="1">1</definedName>
    <definedName name="solver_ver" localSheetId="3" hidden="1">3</definedName>
    <definedName name="WY_high">'List Values'!$H$15</definedName>
    <definedName name="WY_mid">'List Values'!$H$14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40" l="1"/>
  <c r="T33" i="40" s="1"/>
  <c r="B32" i="40"/>
  <c r="J32" i="40" l="1"/>
  <c r="T32" i="40"/>
  <c r="R32" i="40"/>
  <c r="H32" i="40"/>
  <c r="J33" i="40"/>
  <c r="H46" i="40" l="1"/>
  <c r="T47" i="40"/>
  <c r="J47" i="40"/>
  <c r="T46" i="40"/>
  <c r="R46" i="40"/>
  <c r="J46" i="40"/>
  <c r="Q70" i="31"/>
  <c r="Q71" i="31"/>
  <c r="O70" i="31"/>
  <c r="Q69" i="31"/>
  <c r="Q68" i="31"/>
  <c r="O68" i="31"/>
  <c r="F71" i="31"/>
  <c r="F70" i="31"/>
  <c r="D70" i="31"/>
  <c r="J16" i="39" l="1"/>
  <c r="B25" i="40" l="1"/>
  <c r="B24" i="40"/>
  <c r="B41" i="31"/>
  <c r="B40" i="31"/>
  <c r="N30" i="35"/>
  <c r="N31" i="35"/>
  <c r="N32" i="35"/>
  <c r="N60" i="35"/>
  <c r="N61" i="35"/>
  <c r="N62" i="35"/>
  <c r="H26" i="40" l="1"/>
  <c r="H28" i="40"/>
  <c r="H30" i="40"/>
  <c r="H34" i="40"/>
  <c r="H36" i="40"/>
  <c r="H38" i="40"/>
  <c r="H40" i="40"/>
  <c r="H42" i="40"/>
  <c r="H44" i="40"/>
  <c r="H48" i="40"/>
  <c r="H50" i="40"/>
  <c r="H52" i="40"/>
  <c r="H54" i="40"/>
  <c r="N52" i="35" l="1"/>
  <c r="N53" i="35"/>
  <c r="N54" i="35"/>
  <c r="N55" i="35"/>
  <c r="N56" i="35"/>
  <c r="N57" i="35"/>
  <c r="N58" i="35"/>
  <c r="N59" i="35"/>
  <c r="H11" i="37" l="1"/>
  <c r="I11" i="37"/>
  <c r="J11" i="37"/>
  <c r="K11" i="37"/>
  <c r="L11" i="37"/>
  <c r="M11" i="37"/>
  <c r="N11" i="37"/>
  <c r="O11" i="37"/>
  <c r="P11" i="37"/>
  <c r="Q11" i="37"/>
  <c r="R11" i="37"/>
  <c r="S11" i="37"/>
  <c r="T11" i="37"/>
  <c r="U11" i="37"/>
  <c r="V11" i="37"/>
  <c r="W11" i="37"/>
  <c r="X11" i="37"/>
  <c r="H12" i="37"/>
  <c r="I12" i="37"/>
  <c r="J12" i="37"/>
  <c r="K12" i="37"/>
  <c r="L12" i="37"/>
  <c r="M12" i="37"/>
  <c r="N12" i="37"/>
  <c r="O12" i="37"/>
  <c r="P12" i="37"/>
  <c r="Q12" i="37"/>
  <c r="R12" i="37"/>
  <c r="S12" i="37"/>
  <c r="T12" i="37"/>
  <c r="U12" i="37"/>
  <c r="V12" i="37"/>
  <c r="W12" i="37"/>
  <c r="X12" i="37"/>
  <c r="H13" i="37"/>
  <c r="I13" i="37"/>
  <c r="J13" i="37"/>
  <c r="K13" i="37"/>
  <c r="L13" i="37"/>
  <c r="M13" i="37"/>
  <c r="N13" i="37"/>
  <c r="O13" i="37"/>
  <c r="P13" i="37"/>
  <c r="Q13" i="37"/>
  <c r="R13" i="37"/>
  <c r="S13" i="37"/>
  <c r="T13" i="37"/>
  <c r="U13" i="37"/>
  <c r="V13" i="37"/>
  <c r="W13" i="37"/>
  <c r="X13" i="37"/>
  <c r="F12" i="37"/>
  <c r="G12" i="37"/>
  <c r="F13" i="37"/>
  <c r="G13" i="37"/>
  <c r="F11" i="37"/>
  <c r="G11" i="37"/>
  <c r="G10" i="37"/>
  <c r="F10" i="37"/>
  <c r="L10" i="40" l="1"/>
  <c r="Q14" i="39" l="1"/>
  <c r="H21" i="39" l="1"/>
  <c r="H22" i="39" s="1"/>
  <c r="I21" i="39"/>
  <c r="I22" i="39" s="1"/>
  <c r="T26" i="40" l="1"/>
  <c r="T27" i="40"/>
  <c r="T28" i="40"/>
  <c r="T29" i="40"/>
  <c r="T30" i="40"/>
  <c r="T31" i="40"/>
  <c r="T34" i="40"/>
  <c r="T35" i="40"/>
  <c r="T36" i="40"/>
  <c r="T37" i="40"/>
  <c r="T38" i="40"/>
  <c r="T39" i="40"/>
  <c r="T40" i="40"/>
  <c r="T41" i="40"/>
  <c r="T42" i="40"/>
  <c r="T43" i="40"/>
  <c r="T44" i="40"/>
  <c r="T45" i="40"/>
  <c r="T48" i="40"/>
  <c r="T49" i="40"/>
  <c r="T50" i="40"/>
  <c r="T51" i="40"/>
  <c r="T52" i="40"/>
  <c r="T53" i="40"/>
  <c r="T54" i="40"/>
  <c r="T55" i="40"/>
  <c r="R26" i="40"/>
  <c r="R28" i="40"/>
  <c r="R30" i="40"/>
  <c r="R34" i="40"/>
  <c r="R36" i="40"/>
  <c r="R38" i="40"/>
  <c r="R40" i="40"/>
  <c r="R42" i="40"/>
  <c r="R44" i="40"/>
  <c r="R48" i="40"/>
  <c r="R50" i="40"/>
  <c r="R52" i="40"/>
  <c r="R54" i="40"/>
  <c r="J51" i="40"/>
  <c r="J52" i="40"/>
  <c r="J53" i="40"/>
  <c r="J54" i="40"/>
  <c r="J55" i="40"/>
  <c r="O81" i="31"/>
  <c r="Q51" i="31"/>
  <c r="Q52" i="31"/>
  <c r="Q53" i="31"/>
  <c r="Q54" i="31"/>
  <c r="Q55" i="31"/>
  <c r="Q56" i="31"/>
  <c r="Q57" i="31"/>
  <c r="Q58" i="31"/>
  <c r="Q59" i="31"/>
  <c r="Q60" i="31"/>
  <c r="Q61" i="31"/>
  <c r="Q62" i="31"/>
  <c r="Q63" i="31"/>
  <c r="Q64" i="31"/>
  <c r="Q65" i="31"/>
  <c r="Q66" i="31"/>
  <c r="Q67" i="31"/>
  <c r="Q72" i="31"/>
  <c r="Q73" i="31"/>
  <c r="Q74" i="31"/>
  <c r="Q75" i="31"/>
  <c r="Q76" i="31"/>
  <c r="Q77" i="31"/>
  <c r="O52" i="31"/>
  <c r="O54" i="31"/>
  <c r="O56" i="31"/>
  <c r="O58" i="31"/>
  <c r="O60" i="31"/>
  <c r="O62" i="31"/>
  <c r="O64" i="31"/>
  <c r="O66" i="31"/>
  <c r="O72" i="31"/>
  <c r="O74" i="31"/>
  <c r="O76" i="31"/>
  <c r="O50" i="31"/>
  <c r="D76" i="31"/>
  <c r="D78" i="31"/>
  <c r="D83" i="31"/>
  <c r="F79" i="31"/>
  <c r="F78" i="31"/>
  <c r="N3" i="35" l="1"/>
  <c r="N4" i="35"/>
  <c r="N5" i="35"/>
  <c r="N6" i="35"/>
  <c r="N7" i="35"/>
  <c r="N8" i="35"/>
  <c r="N9" i="35"/>
  <c r="N10" i="35"/>
  <c r="N11" i="35"/>
  <c r="N12" i="35"/>
  <c r="N13" i="35"/>
  <c r="N14" i="35"/>
  <c r="N15" i="35"/>
  <c r="N16" i="35"/>
  <c r="N17" i="35"/>
  <c r="N18" i="35"/>
  <c r="N19" i="35"/>
  <c r="N20" i="35"/>
  <c r="N21" i="35"/>
  <c r="N22" i="35"/>
  <c r="N23" i="35"/>
  <c r="N24" i="35"/>
  <c r="N25" i="35"/>
  <c r="N26" i="35"/>
  <c r="N27" i="35"/>
  <c r="N28" i="35"/>
  <c r="N29" i="35"/>
  <c r="N33" i="35"/>
  <c r="N34" i="35"/>
  <c r="N35" i="35"/>
  <c r="N36" i="35"/>
  <c r="N37" i="35"/>
  <c r="N38" i="35"/>
  <c r="N39" i="35"/>
  <c r="N40" i="35"/>
  <c r="N41" i="35"/>
  <c r="N42" i="35"/>
  <c r="N43" i="35"/>
  <c r="N44" i="35"/>
  <c r="N45" i="35"/>
  <c r="N46" i="35"/>
  <c r="N47" i="35"/>
  <c r="N48" i="35"/>
  <c r="N49" i="35"/>
  <c r="N50" i="35"/>
  <c r="N51" i="35"/>
  <c r="N2" i="35"/>
  <c r="B57" i="31" l="1"/>
  <c r="F57" i="31" s="1"/>
  <c r="B56" i="31"/>
  <c r="D40" i="31"/>
  <c r="T24" i="40"/>
  <c r="T25" i="40"/>
  <c r="D56" i="31" l="1"/>
  <c r="F56" i="31"/>
  <c r="R24" i="40"/>
  <c r="R56" i="40"/>
  <c r="H56" i="40"/>
  <c r="H24" i="40"/>
  <c r="O40" i="31" l="1"/>
  <c r="Q41" i="31" l="1"/>
  <c r="Q40" i="31"/>
  <c r="H18" i="39" l="1"/>
  <c r="F40" i="31" l="1"/>
  <c r="F41" i="31"/>
  <c r="D6" i="38" l="1"/>
  <c r="C6" i="38"/>
  <c r="R16" i="40" l="1"/>
  <c r="R14" i="40"/>
  <c r="R12" i="40"/>
  <c r="J13" i="40"/>
  <c r="K13" i="40"/>
  <c r="L13" i="40"/>
  <c r="M13" i="40"/>
  <c r="M12" i="40"/>
  <c r="L12" i="40"/>
  <c r="K12" i="40"/>
  <c r="J12" i="40"/>
  <c r="J11" i="40"/>
  <c r="K11" i="40"/>
  <c r="L11" i="40"/>
  <c r="M11" i="40"/>
  <c r="M10" i="40"/>
  <c r="K56" i="40" s="1"/>
  <c r="K10" i="40"/>
  <c r="J10" i="40"/>
  <c r="P33" i="40" l="1"/>
  <c r="M33" i="40"/>
  <c r="L33" i="40"/>
  <c r="O33" i="40"/>
  <c r="K33" i="40"/>
  <c r="N33" i="40"/>
  <c r="L32" i="40"/>
  <c r="P32" i="40"/>
  <c r="K32" i="40"/>
  <c r="O32" i="40"/>
  <c r="M32" i="40"/>
  <c r="N32" i="40"/>
  <c r="K30" i="40"/>
  <c r="P46" i="40"/>
  <c r="M46" i="40"/>
  <c r="N46" i="40"/>
  <c r="L46" i="40"/>
  <c r="O46" i="40"/>
  <c r="K46" i="40"/>
  <c r="K31" i="40"/>
  <c r="P47" i="40"/>
  <c r="L47" i="40"/>
  <c r="O47" i="40"/>
  <c r="M47" i="40"/>
  <c r="K47" i="40"/>
  <c r="N47" i="40"/>
  <c r="M54" i="40"/>
  <c r="N54" i="40"/>
  <c r="P54" i="40"/>
  <c r="L52" i="40"/>
  <c r="K52" i="40"/>
  <c r="M52" i="40"/>
  <c r="N52" i="40"/>
  <c r="P52" i="40"/>
  <c r="O54" i="40"/>
  <c r="K54" i="40"/>
  <c r="L54" i="40"/>
  <c r="O52" i="40"/>
  <c r="L53" i="40"/>
  <c r="N53" i="40"/>
  <c r="K55" i="40"/>
  <c r="L55" i="40"/>
  <c r="N55" i="40"/>
  <c r="M55" i="40"/>
  <c r="O55" i="40"/>
  <c r="P55" i="40"/>
  <c r="M53" i="40"/>
  <c r="O53" i="40"/>
  <c r="P53" i="40"/>
  <c r="K53" i="40"/>
  <c r="K57" i="40"/>
  <c r="M24" i="40"/>
  <c r="P24" i="40"/>
  <c r="N24" i="40"/>
  <c r="L24" i="40"/>
  <c r="O24" i="40"/>
  <c r="K24" i="40"/>
  <c r="P25" i="40"/>
  <c r="N25" i="40"/>
  <c r="L25" i="40"/>
  <c r="M25" i="40"/>
  <c r="K25" i="40"/>
  <c r="O25" i="40"/>
  <c r="J25" i="40"/>
  <c r="J26" i="40"/>
  <c r="J27" i="40"/>
  <c r="J28" i="40"/>
  <c r="J29" i="40"/>
  <c r="J30" i="40"/>
  <c r="J31" i="40"/>
  <c r="J34" i="40"/>
  <c r="J35" i="40"/>
  <c r="J36" i="40"/>
  <c r="J37" i="40"/>
  <c r="J38" i="40"/>
  <c r="J39" i="40"/>
  <c r="J40" i="40"/>
  <c r="J41" i="40"/>
  <c r="J42" i="40"/>
  <c r="J43" i="40"/>
  <c r="J44" i="40"/>
  <c r="J45" i="40"/>
  <c r="J48" i="40"/>
  <c r="J49" i="40"/>
  <c r="J50" i="40"/>
  <c r="J24" i="40"/>
  <c r="S80" i="31"/>
  <c r="Q50" i="31"/>
  <c r="F51" i="31"/>
  <c r="F52" i="31"/>
  <c r="F53" i="31"/>
  <c r="F54" i="31"/>
  <c r="F55" i="31"/>
  <c r="F58" i="31"/>
  <c r="F59" i="31"/>
  <c r="F60" i="31"/>
  <c r="F61" i="31"/>
  <c r="F62" i="31"/>
  <c r="F63" i="31"/>
  <c r="F64" i="31"/>
  <c r="F65" i="31"/>
  <c r="F66" i="31"/>
  <c r="F67" i="31"/>
  <c r="F68" i="31"/>
  <c r="F69" i="31"/>
  <c r="F72" i="31"/>
  <c r="F73" i="31"/>
  <c r="F74" i="31"/>
  <c r="F75" i="31"/>
  <c r="F76" i="31"/>
  <c r="F77" i="31"/>
  <c r="F50" i="31"/>
  <c r="J24" i="31" l="1"/>
  <c r="H21" i="31"/>
  <c r="I33" i="31" s="1"/>
  <c r="K33" i="31" s="1"/>
  <c r="H20" i="31"/>
  <c r="H33" i="31" s="1"/>
  <c r="J33" i="31" s="1"/>
  <c r="H19" i="31"/>
  <c r="I32" i="31" s="1"/>
  <c r="K32" i="31" s="1"/>
  <c r="H18" i="31"/>
  <c r="H32" i="31" s="1"/>
  <c r="J32" i="31" s="1"/>
  <c r="G21" i="31"/>
  <c r="I31" i="31" s="1"/>
  <c r="K31" i="31" s="1"/>
  <c r="G20" i="31"/>
  <c r="H31" i="31" s="1"/>
  <c r="J31" i="31" s="1"/>
  <c r="G19" i="31"/>
  <c r="I30" i="31" s="1"/>
  <c r="K30" i="31" s="1"/>
  <c r="G18" i="31"/>
  <c r="H30" i="31" s="1"/>
  <c r="J30" i="31" s="1"/>
  <c r="F21" i="31"/>
  <c r="I29" i="31" s="1"/>
  <c r="K29" i="31" s="1"/>
  <c r="F20" i="31"/>
  <c r="H29" i="31" s="1"/>
  <c r="J29" i="31" s="1"/>
  <c r="F19" i="31"/>
  <c r="I28" i="31" s="1"/>
  <c r="K28" i="31" s="1"/>
  <c r="F18" i="31"/>
  <c r="H28" i="31" s="1"/>
  <c r="J28" i="31" s="1"/>
  <c r="E21" i="31"/>
  <c r="I27" i="31" s="1"/>
  <c r="K27" i="31" s="1"/>
  <c r="E20" i="31"/>
  <c r="H27" i="31" s="1"/>
  <c r="J27" i="31" s="1"/>
  <c r="E19" i="31"/>
  <c r="I26" i="31" s="1"/>
  <c r="K26" i="31" s="1"/>
  <c r="E18" i="31"/>
  <c r="H26" i="31" s="1"/>
  <c r="J26" i="31" s="1"/>
  <c r="E13" i="31"/>
  <c r="H57" i="31" s="1"/>
  <c r="F13" i="31"/>
  <c r="G13" i="31"/>
  <c r="H13" i="31"/>
  <c r="H12" i="31"/>
  <c r="G12" i="31"/>
  <c r="F12" i="31"/>
  <c r="E12" i="31"/>
  <c r="G57" i="31" s="1"/>
  <c r="I57" i="31" s="1"/>
  <c r="E11" i="31"/>
  <c r="H56" i="31" s="1"/>
  <c r="F11" i="31"/>
  <c r="G11" i="31"/>
  <c r="H11" i="31"/>
  <c r="H10" i="31"/>
  <c r="G83" i="31" s="1"/>
  <c r="G10" i="31"/>
  <c r="G70" i="31" s="1"/>
  <c r="I70" i="31" s="1"/>
  <c r="F10" i="31"/>
  <c r="E10" i="31"/>
  <c r="G79" i="31" l="1"/>
  <c r="I79" i="31" s="1"/>
  <c r="G71" i="31"/>
  <c r="I71" i="31" s="1"/>
  <c r="H78" i="31"/>
  <c r="H70" i="31"/>
  <c r="H79" i="31"/>
  <c r="H71" i="31"/>
  <c r="G56" i="31"/>
  <c r="I56" i="31" s="1"/>
  <c r="G78" i="31"/>
  <c r="I78" i="31" s="1"/>
  <c r="I34" i="31"/>
  <c r="K34" i="31" s="1"/>
  <c r="H40" i="31"/>
  <c r="I35" i="31"/>
  <c r="K35" i="31" s="1"/>
  <c r="H41" i="31"/>
  <c r="H34" i="31"/>
  <c r="J34" i="31" s="1"/>
  <c r="G40" i="31"/>
  <c r="H35" i="31"/>
  <c r="J35" i="31" s="1"/>
  <c r="G41" i="31"/>
  <c r="I41" i="31" s="1"/>
  <c r="I40" i="31" l="1"/>
  <c r="C11" i="42"/>
  <c r="K12" i="42" s="1"/>
  <c r="C12" i="42"/>
  <c r="K13" i="42" s="1"/>
  <c r="C13" i="42"/>
  <c r="L13" i="42" s="1"/>
  <c r="C10" i="42"/>
  <c r="S82" i="40"/>
  <c r="T81" i="40"/>
  <c r="S81" i="40"/>
  <c r="U22" i="40"/>
  <c r="C6" i="42"/>
  <c r="K7" i="42" s="1"/>
  <c r="C7" i="42"/>
  <c r="K8" i="42" s="1"/>
  <c r="C8" i="42"/>
  <c r="L8" i="42" s="1"/>
  <c r="C5" i="42"/>
  <c r="N115" i="31"/>
  <c r="N113" i="31"/>
  <c r="N114" i="31"/>
  <c r="S49" i="31"/>
  <c r="S39" i="31"/>
  <c r="N12" i="31"/>
  <c r="A11" i="42"/>
  <c r="I11" i="42" s="1"/>
  <c r="A12" i="42"/>
  <c r="I12" i="42" s="1"/>
  <c r="A13" i="42"/>
  <c r="A10" i="42"/>
  <c r="I10" i="42" s="1"/>
  <c r="A6" i="42"/>
  <c r="I6" i="42" s="1"/>
  <c r="A7" i="42"/>
  <c r="I7" i="42" s="1"/>
  <c r="A8" i="42"/>
  <c r="I8" i="42" s="1"/>
  <c r="A5" i="42"/>
  <c r="I5" i="42" s="1"/>
  <c r="H13" i="42" l="1"/>
  <c r="I13" i="42"/>
  <c r="H5" i="42"/>
  <c r="K10" i="42"/>
  <c r="K11" i="42"/>
  <c r="L10" i="42"/>
  <c r="L11" i="42"/>
  <c r="L12" i="42"/>
  <c r="L5" i="42"/>
  <c r="K6" i="42"/>
  <c r="K5" i="42"/>
  <c r="B10" i="42"/>
  <c r="B11" i="42"/>
  <c r="B13" i="42"/>
  <c r="B12" i="42"/>
  <c r="G10" i="42"/>
  <c r="H8" i="42"/>
  <c r="H7" i="42"/>
  <c r="H6" i="42"/>
  <c r="B5" i="42"/>
  <c r="F12" i="42"/>
  <c r="G11" i="42"/>
  <c r="H10" i="42"/>
  <c r="F11" i="42"/>
  <c r="F13" i="42"/>
  <c r="G12" i="42"/>
  <c r="H11" i="42"/>
  <c r="F10" i="42"/>
  <c r="G13" i="42"/>
  <c r="H12" i="42"/>
  <c r="L7" i="42"/>
  <c r="B8" i="42"/>
  <c r="B7" i="42"/>
  <c r="F5" i="42"/>
  <c r="G5" i="42"/>
  <c r="L6" i="42"/>
  <c r="B6" i="42"/>
  <c r="F8" i="42"/>
  <c r="G8" i="42"/>
  <c r="F7" i="42"/>
  <c r="G7" i="42"/>
  <c r="F6" i="42"/>
  <c r="G6" i="42"/>
  <c r="N13" i="42" l="1"/>
  <c r="T19" i="40" s="1"/>
  <c r="N5" i="42"/>
  <c r="P10" i="31" s="1"/>
  <c r="P12" i="31" s="1"/>
  <c r="N12" i="42"/>
  <c r="O12" i="42" s="1"/>
  <c r="N6" i="42"/>
  <c r="P11" i="31" s="1"/>
  <c r="P13" i="31" s="1"/>
  <c r="N11" i="42"/>
  <c r="O11" i="42" s="1"/>
  <c r="N10" i="42"/>
  <c r="T10" i="40" s="1"/>
  <c r="T14" i="40" s="1"/>
  <c r="N7" i="42"/>
  <c r="P14" i="31" s="1"/>
  <c r="N8" i="42"/>
  <c r="O8" i="42" s="1"/>
  <c r="O13" i="42" l="1"/>
  <c r="Q13" i="42" s="1"/>
  <c r="W19" i="40" s="1"/>
  <c r="U57" i="40" s="1"/>
  <c r="T18" i="40"/>
  <c r="T11" i="40"/>
  <c r="T15" i="40" s="1"/>
  <c r="U11" i="40"/>
  <c r="U17" i="40" s="1"/>
  <c r="Q11" i="42"/>
  <c r="W11" i="40" s="1"/>
  <c r="P11" i="42"/>
  <c r="V11" i="40" s="1"/>
  <c r="V33" i="40" s="1"/>
  <c r="P12" i="42"/>
  <c r="V18" i="40" s="1"/>
  <c r="U32" i="40" s="1"/>
  <c r="Q12" i="42"/>
  <c r="W18" i="40" s="1"/>
  <c r="U56" i="40" s="1"/>
  <c r="O6" i="42"/>
  <c r="P8" i="42"/>
  <c r="R15" i="31" s="1"/>
  <c r="T71" i="31" s="1"/>
  <c r="Q8" i="42"/>
  <c r="S15" i="31" s="1"/>
  <c r="T82" i="31" s="1"/>
  <c r="P115" i="31" s="1"/>
  <c r="T16" i="40"/>
  <c r="T12" i="40"/>
  <c r="O10" i="42"/>
  <c r="O7" i="42"/>
  <c r="U18" i="40"/>
  <c r="P15" i="31"/>
  <c r="O5" i="42"/>
  <c r="Q10" i="31" s="1"/>
  <c r="Q15" i="31"/>
  <c r="T41" i="31" s="1"/>
  <c r="U46" i="40" l="1"/>
  <c r="V47" i="40"/>
  <c r="U19" i="40"/>
  <c r="P13" i="42"/>
  <c r="V19" i="40" s="1"/>
  <c r="U33" i="40" s="1"/>
  <c r="T17" i="40"/>
  <c r="V51" i="40"/>
  <c r="V55" i="40"/>
  <c r="V53" i="40"/>
  <c r="U52" i="40"/>
  <c r="U50" i="40"/>
  <c r="U54" i="40"/>
  <c r="T69" i="31"/>
  <c r="T75" i="31"/>
  <c r="T77" i="31"/>
  <c r="P6" i="42"/>
  <c r="R11" i="31" s="1"/>
  <c r="Q11" i="31"/>
  <c r="R41" i="31" s="1"/>
  <c r="T13" i="40"/>
  <c r="U13" i="40"/>
  <c r="U15" i="40"/>
  <c r="V57" i="40"/>
  <c r="T83" i="40" s="1"/>
  <c r="W13" i="40"/>
  <c r="W57" i="40" s="1"/>
  <c r="T84" i="40" s="1"/>
  <c r="U44" i="40"/>
  <c r="U42" i="40"/>
  <c r="U40" i="40"/>
  <c r="U48" i="40"/>
  <c r="U10" i="40"/>
  <c r="U14" i="40" s="1"/>
  <c r="Q10" i="42"/>
  <c r="W10" i="40" s="1"/>
  <c r="W14" i="40" s="1"/>
  <c r="P10" i="42"/>
  <c r="V10" i="40" s="1"/>
  <c r="V32" i="40" s="1"/>
  <c r="Q6" i="42"/>
  <c r="S11" i="31" s="1"/>
  <c r="R82" i="31" s="1"/>
  <c r="P113" i="31" s="1"/>
  <c r="P5" i="42"/>
  <c r="R10" i="31" s="1"/>
  <c r="Q5" i="42"/>
  <c r="S10" i="31" s="1"/>
  <c r="P7" i="42"/>
  <c r="R14" i="31" s="1"/>
  <c r="T70" i="31" s="1"/>
  <c r="Q7" i="42"/>
  <c r="S14" i="31" s="1"/>
  <c r="T81" i="31" s="1"/>
  <c r="O115" i="31" s="1"/>
  <c r="V15" i="40"/>
  <c r="X33" i="40" s="1"/>
  <c r="V45" i="40"/>
  <c r="V17" i="40"/>
  <c r="Y33" i="40" s="1"/>
  <c r="V49" i="40"/>
  <c r="V43" i="40"/>
  <c r="V13" i="40"/>
  <c r="W33" i="40" s="1"/>
  <c r="W17" i="40"/>
  <c r="Y57" i="40" s="1"/>
  <c r="T86" i="40" s="1"/>
  <c r="V41" i="40"/>
  <c r="W15" i="40"/>
  <c r="X57" i="40" s="1"/>
  <c r="T85" i="40" s="1"/>
  <c r="Q14" i="31"/>
  <c r="T40" i="31" s="1"/>
  <c r="T82" i="40"/>
  <c r="R40" i="31"/>
  <c r="U43" i="40" l="1"/>
  <c r="V46" i="40"/>
  <c r="Y47" i="40"/>
  <c r="X47" i="40"/>
  <c r="W47" i="40"/>
  <c r="R13" i="31"/>
  <c r="S71" i="31" s="1"/>
  <c r="R71" i="31"/>
  <c r="R68" i="31"/>
  <c r="R70" i="31"/>
  <c r="U53" i="40"/>
  <c r="U47" i="40"/>
  <c r="U41" i="40"/>
  <c r="U45" i="40"/>
  <c r="U49" i="40"/>
  <c r="U51" i="40"/>
  <c r="U55" i="40"/>
  <c r="Y43" i="40"/>
  <c r="Y55" i="40"/>
  <c r="Y51" i="40"/>
  <c r="Y53" i="40"/>
  <c r="V50" i="40"/>
  <c r="V52" i="40"/>
  <c r="V54" i="40"/>
  <c r="X55" i="40"/>
  <c r="X53" i="40"/>
  <c r="X51" i="40"/>
  <c r="W51" i="40"/>
  <c r="W53" i="40"/>
  <c r="W55" i="40"/>
  <c r="S77" i="31"/>
  <c r="T68" i="31"/>
  <c r="T76" i="31"/>
  <c r="T74" i="31"/>
  <c r="R76" i="31"/>
  <c r="R74" i="31"/>
  <c r="R69" i="31"/>
  <c r="R77" i="31"/>
  <c r="R75" i="31"/>
  <c r="V14" i="40"/>
  <c r="X32" i="40" s="1"/>
  <c r="U12" i="40"/>
  <c r="U16" i="40"/>
  <c r="X49" i="40"/>
  <c r="X45" i="40"/>
  <c r="X43" i="40"/>
  <c r="Y41" i="40"/>
  <c r="W45" i="40"/>
  <c r="W49" i="40"/>
  <c r="Y49" i="40"/>
  <c r="Y45" i="40"/>
  <c r="W43" i="40"/>
  <c r="R66" i="31"/>
  <c r="W41" i="40"/>
  <c r="Q12" i="31"/>
  <c r="S40" i="31" s="1"/>
  <c r="Q13" i="31"/>
  <c r="S41" i="31" s="1"/>
  <c r="S13" i="31"/>
  <c r="S82" i="31" s="1"/>
  <c r="P114" i="31" s="1"/>
  <c r="X41" i="40"/>
  <c r="W12" i="40"/>
  <c r="W56" i="40" s="1"/>
  <c r="S84" i="40" s="1"/>
  <c r="W16" i="40"/>
  <c r="Y56" i="40" s="1"/>
  <c r="S86" i="40" s="1"/>
  <c r="V56" i="40"/>
  <c r="V40" i="40"/>
  <c r="V12" i="40"/>
  <c r="W32" i="40" s="1"/>
  <c r="V44" i="40"/>
  <c r="V42" i="40"/>
  <c r="V48" i="40"/>
  <c r="V16" i="40"/>
  <c r="Y32" i="40" s="1"/>
  <c r="S83" i="40"/>
  <c r="X56" i="40"/>
  <c r="S85" i="40" s="1"/>
  <c r="S12" i="31"/>
  <c r="S81" i="31" s="1"/>
  <c r="O114" i="31" s="1"/>
  <c r="R81" i="31"/>
  <c r="O113" i="31" s="1"/>
  <c r="R12" i="31"/>
  <c r="S70" i="31" s="1"/>
  <c r="S69" i="31" l="1"/>
  <c r="S75" i="31"/>
  <c r="Y46" i="40"/>
  <c r="W46" i="40"/>
  <c r="X40" i="40"/>
  <c r="X46" i="40"/>
  <c r="X44" i="40"/>
  <c r="X42" i="40"/>
  <c r="X48" i="40"/>
  <c r="Y54" i="40"/>
  <c r="Y50" i="40"/>
  <c r="Y52" i="40"/>
  <c r="W54" i="40"/>
  <c r="W50" i="40"/>
  <c r="W52" i="40"/>
  <c r="X50" i="40"/>
  <c r="X52" i="40"/>
  <c r="X54" i="40"/>
  <c r="S76" i="31"/>
  <c r="S74" i="31"/>
  <c r="W40" i="40"/>
  <c r="S68" i="31"/>
  <c r="S66" i="31"/>
  <c r="Y44" i="40"/>
  <c r="W44" i="40"/>
  <c r="W42" i="40"/>
  <c r="W48" i="40"/>
  <c r="Y48" i="40"/>
  <c r="Y42" i="40"/>
  <c r="Y40" i="40"/>
  <c r="I30" i="39" l="1"/>
  <c r="D72" i="31" s="1"/>
  <c r="H16" i="39"/>
  <c r="H15" i="39"/>
  <c r="H7" i="39"/>
  <c r="D28" i="31" s="1"/>
  <c r="I20" i="39"/>
  <c r="D52" i="31" s="1"/>
  <c r="I19" i="39"/>
  <c r="D50" i="31" s="1"/>
  <c r="I18" i="39"/>
  <c r="D54" i="31" s="1"/>
  <c r="G54" i="31" s="1"/>
  <c r="I54" i="31" s="1"/>
  <c r="I26" i="39"/>
  <c r="D64" i="31" s="1"/>
  <c r="I31" i="39"/>
  <c r="I28" i="39"/>
  <c r="D68" i="31" s="1"/>
  <c r="I25" i="39"/>
  <c r="D62" i="31" s="1"/>
  <c r="I27" i="39"/>
  <c r="D66" i="31" s="1"/>
  <c r="I24" i="39"/>
  <c r="D60" i="31" s="1"/>
  <c r="I23" i="39"/>
  <c r="D58" i="31" s="1"/>
  <c r="L7" i="39"/>
  <c r="F28" i="31" s="1"/>
  <c r="J7" i="39"/>
  <c r="E28" i="31" s="1"/>
  <c r="L6" i="39"/>
  <c r="F26" i="31" s="1"/>
  <c r="L8" i="39"/>
  <c r="F30" i="31" s="1"/>
  <c r="J8" i="39"/>
  <c r="E30" i="31" s="1"/>
  <c r="J6" i="39"/>
  <c r="E26" i="31" s="1"/>
  <c r="L9" i="39"/>
  <c r="F32" i="31" s="1"/>
  <c r="J9" i="39"/>
  <c r="E32" i="31" s="1"/>
  <c r="L10" i="39"/>
  <c r="F34" i="31" s="1"/>
  <c r="J10" i="39"/>
  <c r="E34" i="31" s="1"/>
  <c r="G84" i="31"/>
  <c r="H9" i="39"/>
  <c r="D32" i="31" s="1"/>
  <c r="H8" i="39"/>
  <c r="D30" i="31" s="1"/>
  <c r="H6" i="39"/>
  <c r="D26" i="31" s="1"/>
  <c r="H10" i="39"/>
  <c r="D34" i="31" s="1"/>
  <c r="P56" i="40"/>
  <c r="L57" i="40"/>
  <c r="H84" i="31"/>
  <c r="N56" i="40"/>
  <c r="M57" i="40"/>
  <c r="N57" i="40"/>
  <c r="L56" i="40"/>
  <c r="O57" i="40"/>
  <c r="M56" i="40"/>
  <c r="P57" i="40"/>
  <c r="O56" i="40"/>
  <c r="D74" i="31" l="1"/>
  <c r="D118" i="31"/>
  <c r="I83" i="31"/>
  <c r="D115" i="31"/>
  <c r="D117" i="31"/>
  <c r="I84" i="31"/>
  <c r="R51" i="31"/>
  <c r="T50" i="31"/>
  <c r="T51" i="31"/>
  <c r="R50" i="31"/>
  <c r="S51" i="31"/>
  <c r="S50" i="31"/>
  <c r="R55" i="31"/>
  <c r="T55" i="31"/>
  <c r="T54" i="31"/>
  <c r="R54" i="31"/>
  <c r="S55" i="31"/>
  <c r="S54" i="31"/>
  <c r="T59" i="31"/>
  <c r="R59" i="31"/>
  <c r="T58" i="31"/>
  <c r="R58" i="31"/>
  <c r="S59" i="31"/>
  <c r="S58" i="31"/>
  <c r="T62" i="31"/>
  <c r="T63" i="31"/>
  <c r="R63" i="31"/>
  <c r="R62" i="31"/>
  <c r="S63" i="31"/>
  <c r="S62" i="31"/>
  <c r="T66" i="31"/>
  <c r="R67" i="31"/>
  <c r="T67" i="31"/>
  <c r="S67" i="31"/>
  <c r="R73" i="31"/>
  <c r="T72" i="31"/>
  <c r="T73" i="31"/>
  <c r="R72" i="31"/>
  <c r="S73" i="31"/>
  <c r="S72" i="31"/>
  <c r="T60" i="31"/>
  <c r="T61" i="31"/>
  <c r="R61" i="31"/>
  <c r="S61" i="31"/>
  <c r="R60" i="31"/>
  <c r="S60" i="31"/>
  <c r="R53" i="31"/>
  <c r="T52" i="31"/>
  <c r="T53" i="31"/>
  <c r="S53" i="31"/>
  <c r="R52" i="31"/>
  <c r="S52" i="31"/>
  <c r="T56" i="31"/>
  <c r="R57" i="31"/>
  <c r="T57" i="31"/>
  <c r="S57" i="31"/>
  <c r="R56" i="31"/>
  <c r="S56" i="31"/>
  <c r="T65" i="31"/>
  <c r="R65" i="31"/>
  <c r="T64" i="31"/>
  <c r="R64" i="31"/>
  <c r="S65" i="31"/>
  <c r="S64" i="31"/>
  <c r="S8" i="39"/>
  <c r="S7" i="39"/>
  <c r="S6" i="39"/>
  <c r="X10" i="37"/>
  <c r="W10" i="37"/>
  <c r="V10" i="37"/>
  <c r="U10" i="37"/>
  <c r="T10" i="37"/>
  <c r="S10" i="37"/>
  <c r="R10" i="37"/>
  <c r="Q10" i="37"/>
  <c r="P10" i="37"/>
  <c r="O10" i="37"/>
  <c r="N10" i="37"/>
  <c r="M10" i="37"/>
  <c r="L10" i="37"/>
  <c r="K10" i="37"/>
  <c r="J10" i="37"/>
  <c r="I10" i="37"/>
  <c r="H10" i="37"/>
  <c r="P51" i="40" l="1"/>
  <c r="L50" i="40"/>
  <c r="P50" i="40"/>
  <c r="K51" i="40"/>
  <c r="L51" i="40"/>
  <c r="N51" i="40"/>
  <c r="K50" i="40"/>
  <c r="M50" i="40"/>
  <c r="M51" i="40"/>
  <c r="O51" i="40"/>
  <c r="O50" i="40"/>
  <c r="N50" i="40"/>
  <c r="L49" i="40"/>
  <c r="K49" i="40"/>
  <c r="O48" i="40"/>
  <c r="P48" i="40"/>
  <c r="N49" i="40"/>
  <c r="L48" i="40"/>
  <c r="P49" i="40"/>
  <c r="N48" i="40"/>
  <c r="O49" i="40"/>
  <c r="M48" i="40"/>
  <c r="M49" i="40"/>
  <c r="K48" i="40"/>
  <c r="G50" i="31"/>
  <c r="I50" i="31" s="1"/>
  <c r="U28" i="40"/>
  <c r="W29" i="40"/>
  <c r="Y29" i="40"/>
  <c r="V29" i="40"/>
  <c r="U29" i="40"/>
  <c r="X29" i="40"/>
  <c r="V28" i="40"/>
  <c r="X28" i="40"/>
  <c r="W28" i="40"/>
  <c r="Y28" i="40"/>
  <c r="U36" i="40"/>
  <c r="U37" i="40"/>
  <c r="Y37" i="40"/>
  <c r="V37" i="40"/>
  <c r="W37" i="40"/>
  <c r="X37" i="40"/>
  <c r="V36" i="40"/>
  <c r="X36" i="40"/>
  <c r="Y36" i="40"/>
  <c r="W36" i="40"/>
  <c r="U30" i="40"/>
  <c r="U31" i="40"/>
  <c r="Y31" i="40"/>
  <c r="X31" i="40"/>
  <c r="W31" i="40"/>
  <c r="V31" i="40"/>
  <c r="V30" i="40"/>
  <c r="X30" i="40"/>
  <c r="W30" i="40"/>
  <c r="Y30" i="40"/>
  <c r="U26" i="40"/>
  <c r="V27" i="40"/>
  <c r="W27" i="40"/>
  <c r="U27" i="40"/>
  <c r="Y27" i="40"/>
  <c r="X27" i="40"/>
  <c r="X26" i="40"/>
  <c r="V26" i="40"/>
  <c r="Y26" i="40"/>
  <c r="W26" i="40"/>
  <c r="U38" i="40"/>
  <c r="V39" i="40"/>
  <c r="X39" i="40"/>
  <c r="W39" i="40"/>
  <c r="U39" i="40"/>
  <c r="Y39" i="40"/>
  <c r="X38" i="40"/>
  <c r="V38" i="40"/>
  <c r="Y38" i="40"/>
  <c r="W38" i="40"/>
  <c r="U34" i="40"/>
  <c r="Y35" i="40"/>
  <c r="W35" i="40"/>
  <c r="U35" i="40"/>
  <c r="V35" i="40"/>
  <c r="V34" i="40"/>
  <c r="X34" i="40"/>
  <c r="X35" i="40"/>
  <c r="W34" i="40"/>
  <c r="Y34" i="40"/>
  <c r="U24" i="40"/>
  <c r="V25" i="40"/>
  <c r="U25" i="40"/>
  <c r="W25" i="40"/>
  <c r="X25" i="40"/>
  <c r="V24" i="40"/>
  <c r="Y25" i="40"/>
  <c r="Y24" i="40"/>
  <c r="X24" i="40"/>
  <c r="W24" i="40"/>
  <c r="G58" i="31"/>
  <c r="I58" i="31" s="1"/>
  <c r="G59" i="31"/>
  <c r="I59" i="31" s="1"/>
  <c r="H59" i="31"/>
  <c r="H58" i="31"/>
  <c r="M31" i="40"/>
  <c r="O30" i="40"/>
  <c r="L30" i="40"/>
  <c r="O31" i="40"/>
  <c r="N30" i="40"/>
  <c r="N31" i="40"/>
  <c r="L31" i="40"/>
  <c r="M30" i="40"/>
  <c r="P31" i="40"/>
  <c r="P30" i="40"/>
  <c r="K35" i="40"/>
  <c r="M34" i="40"/>
  <c r="P35" i="40"/>
  <c r="M35" i="40"/>
  <c r="P34" i="40"/>
  <c r="L34" i="40"/>
  <c r="K34" i="40"/>
  <c r="O35" i="40"/>
  <c r="L35" i="40"/>
  <c r="O34" i="40"/>
  <c r="N35" i="40"/>
  <c r="N34" i="40"/>
  <c r="H55" i="31"/>
  <c r="G55" i="31"/>
  <c r="I55" i="31" s="1"/>
  <c r="H54" i="31"/>
  <c r="G53" i="31"/>
  <c r="I53" i="31" s="1"/>
  <c r="H52" i="31"/>
  <c r="G52" i="31"/>
  <c r="I52" i="31" s="1"/>
  <c r="H53" i="31"/>
  <c r="N45" i="40"/>
  <c r="P44" i="40"/>
  <c r="M45" i="40"/>
  <c r="O44" i="40"/>
  <c r="M44" i="40"/>
  <c r="K45" i="40"/>
  <c r="P45" i="40"/>
  <c r="L45" i="40"/>
  <c r="L44" i="40"/>
  <c r="O45" i="40"/>
  <c r="N44" i="40"/>
  <c r="K44" i="40"/>
  <c r="H67" i="31"/>
  <c r="H66" i="31"/>
  <c r="G66" i="31"/>
  <c r="I66" i="31" s="1"/>
  <c r="G67" i="31"/>
  <c r="I67" i="31" s="1"/>
  <c r="P28" i="40"/>
  <c r="M28" i="40"/>
  <c r="P29" i="40"/>
  <c r="N29" i="40"/>
  <c r="O28" i="40"/>
  <c r="L28" i="40"/>
  <c r="M29" i="40"/>
  <c r="O29" i="40"/>
  <c r="L29" i="40"/>
  <c r="N28" i="40"/>
  <c r="G68" i="31"/>
  <c r="I68" i="31" s="1"/>
  <c r="G69" i="31"/>
  <c r="I69" i="31" s="1"/>
  <c r="H69" i="31"/>
  <c r="H68" i="31"/>
  <c r="L42" i="40"/>
  <c r="O43" i="40"/>
  <c r="L43" i="40"/>
  <c r="O42" i="40"/>
  <c r="K43" i="40"/>
  <c r="N43" i="40"/>
  <c r="N42" i="40"/>
  <c r="K42" i="40"/>
  <c r="P42" i="40"/>
  <c r="M42" i="40"/>
  <c r="P43" i="40"/>
  <c r="M43" i="40"/>
  <c r="H65" i="31"/>
  <c r="G65" i="31"/>
  <c r="I65" i="31" s="1"/>
  <c r="H64" i="31"/>
  <c r="G64" i="31"/>
  <c r="I64" i="31" s="1"/>
  <c r="G77" i="31"/>
  <c r="I77" i="31" s="1"/>
  <c r="G76" i="31"/>
  <c r="I76" i="31" s="1"/>
  <c r="H76" i="31"/>
  <c r="H77" i="31"/>
  <c r="M27" i="40"/>
  <c r="O26" i="40"/>
  <c r="M26" i="40"/>
  <c r="N26" i="40"/>
  <c r="P27" i="40"/>
  <c r="L27" i="40"/>
  <c r="L26" i="40"/>
  <c r="O27" i="40"/>
  <c r="N27" i="40"/>
  <c r="K26" i="40"/>
  <c r="P26" i="40"/>
  <c r="G61" i="31"/>
  <c r="I61" i="31" s="1"/>
  <c r="G60" i="31"/>
  <c r="I60" i="31" s="1"/>
  <c r="H60" i="31"/>
  <c r="H61" i="31"/>
  <c r="H50" i="31"/>
  <c r="G51" i="31"/>
  <c r="I51" i="31" s="1"/>
  <c r="H51" i="31"/>
  <c r="L36" i="40"/>
  <c r="O37" i="40"/>
  <c r="K37" i="40"/>
  <c r="N37" i="40"/>
  <c r="P36" i="40"/>
  <c r="M37" i="40"/>
  <c r="O36" i="40"/>
  <c r="N36" i="40"/>
  <c r="K36" i="40"/>
  <c r="M36" i="40"/>
  <c r="P37" i="40"/>
  <c r="L37" i="40"/>
  <c r="G62" i="31"/>
  <c r="I62" i="31" s="1"/>
  <c r="H62" i="31"/>
  <c r="H63" i="31"/>
  <c r="G63" i="31"/>
  <c r="I63" i="31" s="1"/>
  <c r="N41" i="40"/>
  <c r="L41" i="40"/>
  <c r="M40" i="40"/>
  <c r="P41" i="40"/>
  <c r="M41" i="40"/>
  <c r="P40" i="40"/>
  <c r="K40" i="40"/>
  <c r="O40" i="40"/>
  <c r="L40" i="40"/>
  <c r="K41" i="40"/>
  <c r="O41" i="40"/>
  <c r="N40" i="40"/>
  <c r="H73" i="31"/>
  <c r="G73" i="31"/>
  <c r="I73" i="31" s="1"/>
  <c r="H72" i="31"/>
  <c r="G72" i="31"/>
  <c r="I72" i="31" s="1"/>
  <c r="N39" i="40"/>
  <c r="O38" i="40"/>
  <c r="L38" i="40"/>
  <c r="K38" i="40"/>
  <c r="M39" i="40"/>
  <c r="O39" i="40"/>
  <c r="L39" i="40"/>
  <c r="N38" i="40"/>
  <c r="P38" i="40"/>
  <c r="M38" i="40"/>
  <c r="K39" i="40"/>
  <c r="P39" i="40"/>
  <c r="G75" i="31"/>
  <c r="I75" i="31" s="1"/>
  <c r="H75" i="31"/>
  <c r="G74" i="31"/>
  <c r="I74" i="31" s="1"/>
  <c r="H74" i="31"/>
  <c r="E114" i="31"/>
  <c r="I81" i="31" l="1"/>
  <c r="I48" i="31"/>
  <c r="I38" i="31"/>
  <c r="K22" i="40" l="1"/>
  <c r="H19" i="35" l="1"/>
  <c r="H18" i="35"/>
  <c r="H17" i="35"/>
  <c r="I81" i="40" l="1"/>
  <c r="J81" i="40" l="1"/>
  <c r="K28" i="40" l="1"/>
  <c r="K27" i="40"/>
  <c r="K29" i="40"/>
  <c r="D4" i="38" l="1"/>
  <c r="H83" i="31" l="1"/>
  <c r="E115" i="31"/>
  <c r="E117" i="31"/>
  <c r="E118" i="31"/>
  <c r="I85" i="40"/>
  <c r="I84" i="40"/>
  <c r="I86" i="40"/>
  <c r="I87" i="40"/>
  <c r="I82" i="40"/>
  <c r="I83" i="40"/>
  <c r="J82" i="40"/>
  <c r="J84" i="40"/>
  <c r="J83" i="40"/>
  <c r="J85" i="40"/>
  <c r="J86" i="40"/>
  <c r="J87" i="40"/>
  <c r="D116" i="31" l="1"/>
  <c r="E116" i="31"/>
</calcChain>
</file>

<file path=xl/sharedStrings.xml><?xml version="1.0" encoding="utf-8"?>
<sst xmlns="http://schemas.openxmlformats.org/spreadsheetml/2006/main" count="1930" uniqueCount="465">
  <si>
    <t>Condition of Use</t>
  </si>
  <si>
    <t>Inhalation Exposure</t>
  </si>
  <si>
    <t>Personal Protective Equipment (PPE)</t>
  </si>
  <si>
    <t>Dermal</t>
  </si>
  <si>
    <t>Select the Condition of Use (select)</t>
  </si>
  <si>
    <t>Data Type
(select)</t>
  </si>
  <si>
    <t>Respirator Protection Factor (Select)</t>
  </si>
  <si>
    <t>Glove Protection Factor (Select)</t>
  </si>
  <si>
    <t>Worker Type
(select)</t>
  </si>
  <si>
    <t>Manufacturing - 8-hr TWA</t>
  </si>
  <si>
    <t>Monitoring Data</t>
  </si>
  <si>
    <t>Average Adult Worker</t>
  </si>
  <si>
    <t>Inhalation</t>
  </si>
  <si>
    <t>Exposure Outputs</t>
  </si>
  <si>
    <t>Category</t>
  </si>
  <si>
    <t>Exposure Level</t>
  </si>
  <si>
    <t>Full-Shift (Eight- or Twelve-Hour) TWA Exposure</t>
  </si>
  <si>
    <t>Acute Exposures</t>
  </si>
  <si>
    <t>Chronic, Non-Cancer Exposures</t>
  </si>
  <si>
    <t>Chronic, Cancer Exposures</t>
  </si>
  <si>
    <t>Acute Potential Dose Rate</t>
  </si>
  <si>
    <t>Acute Retained Dose</t>
  </si>
  <si>
    <t>Chronic Retained Dose, Non-Cancer</t>
  </si>
  <si>
    <t>Chronic Retained Dose, Cancer</t>
  </si>
  <si>
    <r>
      <t>C</t>
    </r>
    <r>
      <rPr>
        <b/>
        <vertAlign val="subscript"/>
        <sz val="10"/>
        <rFont val="Calibri"/>
        <family val="2"/>
        <scheme val="minor"/>
      </rPr>
      <t>PCE, 8 or 12-hr TWA</t>
    </r>
    <r>
      <rPr>
        <b/>
        <sz val="10"/>
        <rFont val="Calibri"/>
        <family val="2"/>
        <scheme val="minor"/>
      </rPr>
      <t xml:space="preserve"> (ppm)</t>
    </r>
  </si>
  <si>
    <r>
      <t>AC</t>
    </r>
    <r>
      <rPr>
        <b/>
        <vertAlign val="subscript"/>
        <sz val="10"/>
        <rFont val="Calibri"/>
        <family val="2"/>
        <scheme val="minor"/>
      </rPr>
      <t>PCE, 24-hr TWA</t>
    </r>
    <r>
      <rPr>
        <b/>
        <sz val="10"/>
        <rFont val="Calibri"/>
        <family val="2"/>
        <scheme val="minor"/>
      </rPr>
      <t xml:space="preserve"> (ppm)</t>
    </r>
  </si>
  <si>
    <r>
      <t>ADC</t>
    </r>
    <r>
      <rPr>
        <b/>
        <vertAlign val="subscript"/>
        <sz val="10"/>
        <rFont val="Calibri"/>
        <family val="2"/>
        <scheme val="minor"/>
      </rPr>
      <t>PCE, 24-hr TWA</t>
    </r>
    <r>
      <rPr>
        <b/>
        <sz val="10"/>
        <rFont val="Calibri"/>
        <family val="2"/>
        <scheme val="minor"/>
      </rPr>
      <t xml:space="preserve"> (ppm)</t>
    </r>
  </si>
  <si>
    <r>
      <t>LADC</t>
    </r>
    <r>
      <rPr>
        <b/>
        <vertAlign val="subscript"/>
        <sz val="10"/>
        <rFont val="Calibri"/>
        <family val="2"/>
        <scheme val="minor"/>
      </rPr>
      <t>PCE, 24-hr TWA</t>
    </r>
    <r>
      <rPr>
        <b/>
        <sz val="10"/>
        <rFont val="Calibri"/>
        <family val="2"/>
        <scheme val="minor"/>
      </rPr>
      <t xml:space="preserve"> (ppm)</t>
    </r>
  </si>
  <si>
    <r>
      <t>APDR</t>
    </r>
    <r>
      <rPr>
        <b/>
        <vertAlign val="subscript"/>
        <sz val="10"/>
        <color theme="1"/>
        <rFont val="Calibri"/>
        <family val="2"/>
        <scheme val="minor"/>
      </rPr>
      <t>exp</t>
    </r>
    <r>
      <rPr>
        <b/>
        <sz val="10"/>
        <color theme="1"/>
        <rFont val="Calibri"/>
        <family val="2"/>
        <scheme val="minor"/>
      </rPr>
      <t xml:space="preserve"> (mg/day)</t>
    </r>
  </si>
  <si>
    <r>
      <t>ARD</t>
    </r>
    <r>
      <rPr>
        <b/>
        <vertAlign val="subscript"/>
        <sz val="10"/>
        <rFont val="Calibri"/>
        <family val="2"/>
        <scheme val="minor"/>
      </rPr>
      <t>PCE</t>
    </r>
    <r>
      <rPr>
        <b/>
        <sz val="10"/>
        <rFont val="Calibri"/>
        <family val="2"/>
        <scheme val="minor"/>
      </rPr>
      <t xml:space="preserve"> (mg/kg-day)</t>
    </r>
  </si>
  <si>
    <r>
      <t>CRD</t>
    </r>
    <r>
      <rPr>
        <b/>
        <vertAlign val="subscript"/>
        <sz val="10"/>
        <rFont val="Calibri"/>
        <family val="2"/>
        <scheme val="minor"/>
      </rPr>
      <t xml:space="preserve">PCE </t>
    </r>
    <r>
      <rPr>
        <b/>
        <sz val="10"/>
        <rFont val="Calibri"/>
        <family val="2"/>
        <scheme val="minor"/>
      </rPr>
      <t>(mg/kg-day)</t>
    </r>
  </si>
  <si>
    <t>Worker</t>
  </si>
  <si>
    <t>High End</t>
  </si>
  <si>
    <t>Worker, No Gloves</t>
  </si>
  <si>
    <t>ONU</t>
  </si>
  <si>
    <t>Central Tendency</t>
  </si>
  <si>
    <t>Worker, Occluded Exposure</t>
  </si>
  <si>
    <t>Short Term</t>
  </si>
  <si>
    <t>15-min TWA Exposure</t>
  </si>
  <si>
    <t>30-min TWA Exposure</t>
  </si>
  <si>
    <t>1-Hour TWA Exposure</t>
  </si>
  <si>
    <t>4-Hour TWA Exposure</t>
  </si>
  <si>
    <r>
      <t>C</t>
    </r>
    <r>
      <rPr>
        <b/>
        <vertAlign val="subscript"/>
        <sz val="10"/>
        <rFont val="Calibri"/>
        <family val="2"/>
        <scheme val="minor"/>
      </rPr>
      <t>PCE, 15-min TWA</t>
    </r>
    <r>
      <rPr>
        <b/>
        <sz val="10"/>
        <rFont val="Calibri"/>
        <family val="2"/>
        <scheme val="minor"/>
      </rPr>
      <t xml:space="preserve"> (ppm)</t>
    </r>
  </si>
  <si>
    <r>
      <t>C</t>
    </r>
    <r>
      <rPr>
        <b/>
        <vertAlign val="subscript"/>
        <sz val="10"/>
        <rFont val="Calibri"/>
        <family val="2"/>
        <scheme val="minor"/>
      </rPr>
      <t>PCE, 30-min TWA</t>
    </r>
    <r>
      <rPr>
        <b/>
        <sz val="10"/>
        <rFont val="Calibri"/>
        <family val="2"/>
        <scheme val="minor"/>
      </rPr>
      <t xml:space="preserve"> (ppm)</t>
    </r>
  </si>
  <si>
    <r>
      <t>C</t>
    </r>
    <r>
      <rPr>
        <b/>
        <vertAlign val="subscript"/>
        <sz val="10"/>
        <rFont val="Calibri"/>
        <family val="2"/>
        <scheme val="minor"/>
      </rPr>
      <t>PCE, 1-hr TWA</t>
    </r>
    <r>
      <rPr>
        <b/>
        <sz val="10"/>
        <rFont val="Calibri"/>
        <family val="2"/>
        <scheme val="minor"/>
      </rPr>
      <t xml:space="preserve"> (ppm)</t>
    </r>
  </si>
  <si>
    <r>
      <t>C</t>
    </r>
    <r>
      <rPr>
        <b/>
        <vertAlign val="subscript"/>
        <sz val="10"/>
        <rFont val="Calibri"/>
        <family val="2"/>
        <scheme val="minor"/>
      </rPr>
      <t>PCE, 4-hr TWA</t>
    </r>
    <r>
      <rPr>
        <b/>
        <sz val="10"/>
        <rFont val="Calibri"/>
        <family val="2"/>
        <scheme val="minor"/>
      </rPr>
      <t xml:space="preserve"> (ppm)</t>
    </r>
  </si>
  <si>
    <t>Risk Estimates for Acute Exposure Guideline Levels (AEGLs)</t>
  </si>
  <si>
    <t>AEGL Exposure Period</t>
  </si>
  <si>
    <r>
      <t xml:space="preserve">AEGL-1 (ppm)                                                                                 </t>
    </r>
    <r>
      <rPr>
        <sz val="10"/>
        <rFont val="Calibri"/>
        <family val="2"/>
        <scheme val="minor"/>
      </rPr>
      <t>AEGL, 2009</t>
    </r>
  </si>
  <si>
    <r>
      <t xml:space="preserve">AEGL-2 (ppm)                                                                     </t>
    </r>
    <r>
      <rPr>
        <sz val="10"/>
        <rFont val="Calibri"/>
        <family val="2"/>
        <scheme val="minor"/>
      </rPr>
      <t>AEGL, 2009</t>
    </r>
  </si>
  <si>
    <r>
      <t xml:space="preserve">AEGL-3 (ppm)                                                               </t>
    </r>
    <r>
      <rPr>
        <sz val="10"/>
        <rFont val="Calibri"/>
        <family val="2"/>
        <scheme val="minor"/>
      </rPr>
      <t xml:space="preserve">AEGL, 2009 </t>
    </r>
  </si>
  <si>
    <t>Exposure Estimates</t>
  </si>
  <si>
    <t>lookup values</t>
  </si>
  <si>
    <t>Worker TWA Exposure (ppm)</t>
  </si>
  <si>
    <t>ONU TWA Exposure (ppm)</t>
  </si>
  <si>
    <t>Tox01</t>
  </si>
  <si>
    <t>10-min AEGL</t>
  </si>
  <si>
    <t>High-End</t>
  </si>
  <si>
    <t>Tox02</t>
  </si>
  <si>
    <t>30-min AEGL</t>
  </si>
  <si>
    <t>Tox03</t>
  </si>
  <si>
    <t>1-hr AEGL</t>
  </si>
  <si>
    <t>Tox04</t>
  </si>
  <si>
    <t>4-hr AEGL</t>
  </si>
  <si>
    <t>Tox05</t>
  </si>
  <si>
    <t>8-hr AEGL</t>
  </si>
  <si>
    <t>Risk Estimation for Acute, Non-Cancer Inhalation Exposures</t>
  </si>
  <si>
    <t>Risk Estimation for Acute, Non-Cancer Dermal Exposures</t>
  </si>
  <si>
    <t>Health Effect, Endpoint and Study</t>
  </si>
  <si>
    <t>HEC (ppm)</t>
  </si>
  <si>
    <t>Benchmark MOE 
(= Total UF)</t>
  </si>
  <si>
    <t>Acute Exposure Estimates</t>
  </si>
  <si>
    <t>Acute HED (mg/kg)</t>
  </si>
  <si>
    <t>Gloved Scenarios</t>
  </si>
  <si>
    <t>Worker MOE</t>
  </si>
  <si>
    <t>ONU MOE</t>
  </si>
  <si>
    <t>Worker MOE, No Gloves</t>
  </si>
  <si>
    <t>Worker MOE, Occluded Exposure</t>
  </si>
  <si>
    <r>
      <rPr>
        <b/>
        <sz val="10"/>
        <rFont val="Calibri"/>
        <family val="2"/>
        <scheme val="minor"/>
      </rPr>
      <t xml:space="preserve">Neurotoxicity
</t>
    </r>
    <r>
      <rPr>
        <sz val="10"/>
        <rFont val="Calibri"/>
        <family val="2"/>
        <scheme val="minor"/>
      </rPr>
      <t>Increased latencies for pattern reversal visual-evoked potentials
(Altmann et al., 1990)</t>
    </r>
  </si>
  <si>
    <t>N/A</t>
  </si>
  <si>
    <t>Central Tendancy</t>
  </si>
  <si>
    <t>Risk Estimation for Chronic, Non-Cancer Inhalation Exposures</t>
  </si>
  <si>
    <t>Risk Estimation for Chronic, Non-Cancer Dermal Exposures</t>
  </si>
  <si>
    <t>Chronic Exposure Estimates</t>
  </si>
  <si>
    <t>HED (mg/kg)</t>
  </si>
  <si>
    <t>Tox09</t>
  </si>
  <si>
    <r>
      <rPr>
        <b/>
        <sz val="10"/>
        <rFont val="Calibri"/>
        <family val="2"/>
        <scheme val="minor"/>
      </rPr>
      <t>Neurological</t>
    </r>
    <r>
      <rPr>
        <sz val="10"/>
        <rFont val="Calibri"/>
        <family val="2"/>
        <scheme val="minor"/>
      </rPr>
      <t xml:space="preserve">
Reaction time in pattern memory, adult, occupational (human)
(Echeverria et al., 1995)</t>
    </r>
  </si>
  <si>
    <t>Tox10</t>
  </si>
  <si>
    <r>
      <rPr>
        <b/>
        <sz val="10"/>
        <rFont val="Calibri"/>
        <family val="2"/>
        <scheme val="minor"/>
      </rPr>
      <t xml:space="preserve">Neurological
</t>
    </r>
    <r>
      <rPr>
        <sz val="10"/>
        <rFont val="Calibri"/>
        <family val="2"/>
        <scheme val="minor"/>
      </rPr>
      <t>Color confusion, adult, occupational (human)
(Cavalleri et al., 1994)</t>
    </r>
  </si>
  <si>
    <t>Tox08</t>
  </si>
  <si>
    <r>
      <rPr>
        <b/>
        <sz val="10"/>
        <rFont val="Calibri"/>
        <family val="2"/>
        <scheme val="minor"/>
      </rPr>
      <t>Neurological</t>
    </r>
    <r>
      <rPr>
        <sz val="10"/>
        <rFont val="Calibri"/>
        <family val="2"/>
        <scheme val="minor"/>
      </rPr>
      <t xml:space="preserve">
Midpoint of range of HECs from two key neurological studies
(EPA, 2012)</t>
    </r>
  </si>
  <si>
    <r>
      <rPr>
        <b/>
        <sz val="10"/>
        <rFont val="Calibri"/>
        <family val="2"/>
        <scheme val="minor"/>
      </rPr>
      <t>Neurological (TWA)</t>
    </r>
    <r>
      <rPr>
        <sz val="10"/>
        <rFont val="Calibri"/>
        <family val="2"/>
        <scheme val="minor"/>
      </rPr>
      <t xml:space="preserve">
Midpoint of range of HECs from two key neurological studies
(EPA, 2012)</t>
    </r>
  </si>
  <si>
    <r>
      <rPr>
        <b/>
        <sz val="10"/>
        <rFont val="Calibri"/>
        <family val="2"/>
        <scheme val="minor"/>
      </rPr>
      <t xml:space="preserve">Kidneys
</t>
    </r>
    <r>
      <rPr>
        <sz val="10"/>
        <rFont val="Calibri"/>
        <family val="2"/>
        <scheme val="minor"/>
      </rPr>
      <t>Urinary Markers of nephrotoxicity (human)
(Mutti et al., 1992)</t>
    </r>
  </si>
  <si>
    <t>Tox11</t>
  </si>
  <si>
    <r>
      <rPr>
        <b/>
        <sz val="10"/>
        <rFont val="Calibri"/>
        <family val="2"/>
        <scheme val="minor"/>
      </rPr>
      <t xml:space="preserve">Kidneys
</t>
    </r>
    <r>
      <rPr>
        <sz val="10"/>
        <rFont val="Calibri"/>
        <family val="2"/>
        <scheme val="minor"/>
      </rPr>
      <t>Nuclear enlargement in proximal tubules (rat)
(JISA, 1993)</t>
    </r>
  </si>
  <si>
    <t>Tox12</t>
  </si>
  <si>
    <r>
      <rPr>
        <b/>
        <sz val="10"/>
        <rFont val="Calibri"/>
        <family val="2"/>
        <scheme val="minor"/>
      </rPr>
      <t xml:space="preserve">Kidneys
</t>
    </r>
    <r>
      <rPr>
        <sz val="10"/>
        <rFont val="Calibri"/>
        <family val="2"/>
        <scheme val="minor"/>
      </rPr>
      <t>Nuclear enlargement in proximal tubules (mouse)
(JISA, 1993)</t>
    </r>
  </si>
  <si>
    <t>Tox13</t>
  </si>
  <si>
    <r>
      <rPr>
        <b/>
        <sz val="10"/>
        <rFont val="Calibri"/>
        <family val="2"/>
        <scheme val="minor"/>
      </rPr>
      <t xml:space="preserve">Liver
</t>
    </r>
    <r>
      <rPr>
        <sz val="10"/>
        <rFont val="Calibri"/>
        <family val="2"/>
        <scheme val="minor"/>
      </rPr>
      <t>Increased angiectasis in liver (mouse)
(JISA, 1993)</t>
    </r>
  </si>
  <si>
    <t>Tox14</t>
  </si>
  <si>
    <r>
      <rPr>
        <b/>
        <sz val="10"/>
        <rFont val="Calibri"/>
        <family val="2"/>
        <scheme val="minor"/>
      </rPr>
      <t xml:space="preserve">Liver
</t>
    </r>
    <r>
      <rPr>
        <sz val="10"/>
        <rFont val="Calibri"/>
        <family val="2"/>
        <scheme val="minor"/>
      </rPr>
      <t>Increased liver degeneration/necrosis (mouse)
(NTP, 1986)</t>
    </r>
  </si>
  <si>
    <t>Tox15</t>
  </si>
  <si>
    <r>
      <rPr>
        <b/>
        <sz val="10"/>
        <rFont val="Calibri"/>
        <family val="2"/>
        <scheme val="minor"/>
      </rPr>
      <t>Liver</t>
    </r>
    <r>
      <rPr>
        <sz val="10"/>
        <rFont val="Calibri"/>
        <family val="2"/>
        <scheme val="minor"/>
      </rPr>
      <t xml:space="preserve">
Increases liver/body-weight ratio (mouse)
(Buben &amp; O'Flaherty, 1995)</t>
    </r>
  </si>
  <si>
    <t>Tox16</t>
  </si>
  <si>
    <r>
      <rPr>
        <b/>
        <sz val="10"/>
        <rFont val="Calibri"/>
        <family val="2"/>
        <scheme val="minor"/>
      </rPr>
      <t>Immune</t>
    </r>
    <r>
      <rPr>
        <sz val="10"/>
        <rFont val="Calibri"/>
        <family val="2"/>
        <scheme val="minor"/>
      </rPr>
      <t xml:space="preserve">
Changes in blood cells and immune parameters
(Emara, 2010)</t>
    </r>
  </si>
  <si>
    <t>Tox26</t>
  </si>
  <si>
    <r>
      <rPr>
        <b/>
        <sz val="10"/>
        <rFont val="Calibri"/>
        <family val="2"/>
        <scheme val="minor"/>
      </rPr>
      <t xml:space="preserve">Reproductive
</t>
    </r>
    <r>
      <rPr>
        <sz val="10"/>
        <rFont val="Calibri"/>
        <family val="2"/>
        <scheme val="minor"/>
      </rPr>
      <t>Reduced sperm quality following 5 days exposure (mouse)
(Beliles et al., 1980)</t>
    </r>
  </si>
  <si>
    <t>Tox17</t>
  </si>
  <si>
    <r>
      <rPr>
        <b/>
        <sz val="10"/>
        <rFont val="Calibri"/>
        <family val="2"/>
        <scheme val="minor"/>
      </rPr>
      <t xml:space="preserve">Developmental
</t>
    </r>
    <r>
      <rPr>
        <sz val="10"/>
        <rFont val="Calibri"/>
        <family val="2"/>
        <scheme val="minor"/>
      </rPr>
      <t>Decreased weight gain; altered behavior, brain acetylcholine (rat)
(Nelson et al., 1979)</t>
    </r>
  </si>
  <si>
    <t>Tox18</t>
  </si>
  <si>
    <r>
      <rPr>
        <b/>
        <sz val="10"/>
        <rFont val="Calibri"/>
        <family val="2"/>
        <scheme val="minor"/>
      </rPr>
      <t xml:space="preserve">Developmental
</t>
    </r>
    <r>
      <rPr>
        <sz val="10"/>
        <rFont val="Calibri"/>
        <family val="2"/>
        <scheme val="minor"/>
      </rPr>
      <t>Increased F2A pup deaths by day 29, CNS depression in F1 and F2
(Tinston et al., 1994)</t>
    </r>
  </si>
  <si>
    <t>Tox19</t>
  </si>
  <si>
    <r>
      <rPr>
        <b/>
        <sz val="10"/>
        <rFont val="Calibri"/>
        <family val="2"/>
        <scheme val="minor"/>
      </rPr>
      <t xml:space="preserve">Developmental
</t>
    </r>
    <r>
      <rPr>
        <sz val="10"/>
        <rFont val="Calibri"/>
        <family val="2"/>
        <scheme val="minor"/>
      </rPr>
      <t>Decreased fetal and placental weight, skeletal effects
(Carney et al., 2006)</t>
    </r>
  </si>
  <si>
    <t>Tox23</t>
  </si>
  <si>
    <t>Cancer Risks</t>
  </si>
  <si>
    <t>Chronic Cancer Exposure Estimates</t>
  </si>
  <si>
    <t>Risk Estimate</t>
  </si>
  <si>
    <r>
      <t>OSP (mg/kg</t>
    </r>
    <r>
      <rPr>
        <b/>
        <vertAlign val="superscript"/>
        <sz val="10"/>
        <color theme="1"/>
        <rFont val="Calibri"/>
        <family val="2"/>
        <scheme val="minor"/>
      </rPr>
      <t>-1</t>
    </r>
    <r>
      <rPr>
        <b/>
        <sz val="10"/>
        <color theme="1"/>
        <rFont val="Calibri"/>
        <family val="2"/>
        <scheme val="minor"/>
      </rPr>
      <t>)</t>
    </r>
  </si>
  <si>
    <t>Benchmark</t>
  </si>
  <si>
    <t>No Gloves</t>
  </si>
  <si>
    <t>Occluded Exposure</t>
  </si>
  <si>
    <r>
      <t xml:space="preserve">Cancer
</t>
    </r>
    <r>
      <rPr>
        <sz val="11"/>
        <rFont val="Calibri"/>
        <family val="2"/>
        <scheme val="minor"/>
      </rPr>
      <t>Liver tumors</t>
    </r>
  </si>
  <si>
    <t>10-4</t>
  </si>
  <si>
    <r>
      <t>IUR (ppm</t>
    </r>
    <r>
      <rPr>
        <b/>
        <vertAlign val="superscript"/>
        <sz val="10"/>
        <color theme="1"/>
        <rFont val="Calibri"/>
        <family val="2"/>
        <scheme val="minor"/>
      </rPr>
      <t>-1</t>
    </r>
    <r>
      <rPr>
        <b/>
        <sz val="10"/>
        <color theme="1"/>
        <rFont val="Calibri"/>
        <family val="2"/>
        <scheme val="minor"/>
      </rPr>
      <t>)</t>
    </r>
  </si>
  <si>
    <t xml:space="preserve">Worker </t>
  </si>
  <si>
    <t xml:space="preserve">ONU </t>
  </si>
  <si>
    <t>Tox20</t>
  </si>
  <si>
    <t>Cancer Risk</t>
  </si>
  <si>
    <r>
      <t>10</t>
    </r>
    <r>
      <rPr>
        <b/>
        <vertAlign val="superscript"/>
        <sz val="10"/>
        <color theme="1"/>
        <rFont val="Calibri"/>
        <family val="2"/>
        <scheme val="minor"/>
      </rPr>
      <t>-4</t>
    </r>
  </si>
  <si>
    <t>Dermal Cancer Risk Estimates</t>
  </si>
  <si>
    <t>Inhalation Cancer Risk Estimates</t>
  </si>
  <si>
    <t>ONU: 50th Percentile</t>
  </si>
  <si>
    <t>ONU: 95th Percentile</t>
  </si>
  <si>
    <t>Worker: 50th Percentile</t>
  </si>
  <si>
    <t>Worker: 95th Percentile</t>
  </si>
  <si>
    <t>Exposure Type 
(select)</t>
  </si>
  <si>
    <t>8- or 12-hr TWA Exposures</t>
  </si>
  <si>
    <r>
      <t>C</t>
    </r>
    <r>
      <rPr>
        <b/>
        <vertAlign val="subscript"/>
        <sz val="10"/>
        <rFont val="Calibri"/>
        <family val="2"/>
        <scheme val="minor"/>
      </rPr>
      <t>PCE, 8-hr TWA</t>
    </r>
    <r>
      <rPr>
        <b/>
        <sz val="10"/>
        <rFont val="Calibri"/>
        <family val="2"/>
        <scheme val="minor"/>
      </rPr>
      <t xml:space="preserve"> (ppm)</t>
    </r>
  </si>
  <si>
    <r>
      <t>LADC</t>
    </r>
    <r>
      <rPr>
        <b/>
        <vertAlign val="subscript"/>
        <sz val="10"/>
        <rFont val="Calibri"/>
        <family val="2"/>
        <scheme val="minor"/>
      </rPr>
      <t xml:space="preserve">PCE, 24-hr TWA </t>
    </r>
    <r>
      <rPr>
        <b/>
        <sz val="10"/>
        <rFont val="Calibri"/>
        <family val="2"/>
        <scheme val="minor"/>
      </rPr>
      <t>(ppm)</t>
    </r>
  </si>
  <si>
    <r>
      <t>CRD</t>
    </r>
    <r>
      <rPr>
        <b/>
        <vertAlign val="subscript"/>
        <sz val="10"/>
        <rFont val="Calibri"/>
        <family val="2"/>
        <scheme val="minor"/>
      </rPr>
      <t>PCE</t>
    </r>
    <r>
      <rPr>
        <b/>
        <sz val="10"/>
        <rFont val="Calibri"/>
        <family val="2"/>
        <scheme val="minor"/>
      </rPr>
      <t xml:space="preserve"> (mg/kg-day)</t>
    </r>
  </si>
  <si>
    <t>Risk Estimation for Inhalation Exposures</t>
  </si>
  <si>
    <t>Risk Estimation for Dermal Exposures</t>
  </si>
  <si>
    <t>Risk Type</t>
  </si>
  <si>
    <t>Toxicity Endpoint</t>
  </si>
  <si>
    <t>Study</t>
  </si>
  <si>
    <t>No Respirator</t>
  </si>
  <si>
    <t>APF = 10</t>
  </si>
  <si>
    <t>APF = 25</t>
  </si>
  <si>
    <t>APF = 50</t>
  </si>
  <si>
    <t>APF = 1,000</t>
  </si>
  <si>
    <t>APF = 10,000</t>
  </si>
  <si>
    <t>Occluded</t>
  </si>
  <si>
    <t>PF = 5</t>
  </si>
  <si>
    <t>PF = 10</t>
  </si>
  <si>
    <t>PF = 20</t>
  </si>
  <si>
    <t>Acute, Non-Cancer</t>
  </si>
  <si>
    <t>Neurotoxicity</t>
  </si>
  <si>
    <t>Increased latencies for pattern reversal visual-evoked potentials</t>
  </si>
  <si>
    <t>Altmann et al., 1990</t>
  </si>
  <si>
    <t>Chronic, Non-Cancer</t>
  </si>
  <si>
    <t xml:space="preserve">Neurological; EPA, 2012 Table 5-3 </t>
  </si>
  <si>
    <t>Visual reproduction, pattern memory, pattern recognition, adult, occupational (human)</t>
  </si>
  <si>
    <t>Echeverria et al., 1995</t>
  </si>
  <si>
    <t>Color confusion, adult, occupational (human)</t>
  </si>
  <si>
    <t>Cavalleri et al., 1994</t>
  </si>
  <si>
    <t>Midpoint of range of HECs from two key neurological studies</t>
  </si>
  <si>
    <t>EPA IRIS 2012</t>
  </si>
  <si>
    <t>Kidneys; EPA, 2012 Table 5-4</t>
  </si>
  <si>
    <t>Urinary Markers of nephrotoxicity (human)</t>
  </si>
  <si>
    <t>Mutti et al., 1992</t>
  </si>
  <si>
    <t>Nuclear enlargement in proximal tubules (rat)</t>
  </si>
  <si>
    <t>JISA, 1993</t>
  </si>
  <si>
    <t>Nuclear enlargement in proximal tubules (mouse)</t>
  </si>
  <si>
    <t>Liver; EPA, 2012 Table 5-5</t>
  </si>
  <si>
    <t>Increased angiectasis in liver (mouse)</t>
  </si>
  <si>
    <t>Increased liver degeneration/necrosis (mouse)</t>
  </si>
  <si>
    <t>NTP, 1986</t>
  </si>
  <si>
    <t>Increases liver/body-weight ratio (mouse)</t>
  </si>
  <si>
    <t>Buben &amp; O'Flaherty, 1995</t>
  </si>
  <si>
    <t>Immune; EPA, 2012 Table 5-6</t>
  </si>
  <si>
    <t>Changes in blood cells and immune parameters</t>
  </si>
  <si>
    <t>Emara, 2010</t>
  </si>
  <si>
    <t>Reproductive; EPA, 2012 Table 5-7</t>
  </si>
  <si>
    <t>Reduced sperm quality following 5 days exposure (mouse)</t>
  </si>
  <si>
    <t>Beliles et al., 1980</t>
  </si>
  <si>
    <t>Developmental; EPA, 2012 Table 5-7</t>
  </si>
  <si>
    <t>Decreased weight gain; altered behavior, brain acetylcholine (rat)</t>
  </si>
  <si>
    <t>Nelson et al., 1979</t>
  </si>
  <si>
    <t>Increased F2A pup deaths by day 29, CNS depression in F1 and F2</t>
  </si>
  <si>
    <t>Tinston et al., 1994</t>
  </si>
  <si>
    <t>Decreased fetal and placental weight, skeletal effects</t>
  </si>
  <si>
    <t>Carney et al., 2006</t>
  </si>
  <si>
    <t>Chronic, Cancer</t>
  </si>
  <si>
    <t>Cancer, hepatocellular tumors</t>
  </si>
  <si>
    <t>observed in male mice</t>
  </si>
  <si>
    <r>
      <t>10</t>
    </r>
    <r>
      <rPr>
        <vertAlign val="superscript"/>
        <sz val="10"/>
        <color theme="1"/>
        <rFont val="Calibri"/>
        <family val="2"/>
        <scheme val="minor"/>
      </rPr>
      <t>-4</t>
    </r>
  </si>
  <si>
    <t>=</t>
  </si>
  <si>
    <t>No Gloves (PF = 1)</t>
  </si>
  <si>
    <t>Protective Gloves (PF = 5)</t>
  </si>
  <si>
    <t>Protective Gloves 
(Commercial uses, PF = 10)</t>
  </si>
  <si>
    <t>Protective Gloves 
(Industrial uses, PF = 20)</t>
  </si>
  <si>
    <t>Look-up Values and Risk Parameter Values</t>
  </si>
  <si>
    <t>AEGL-1</t>
  </si>
  <si>
    <t>AEGL-2</t>
  </si>
  <si>
    <t>AEGL-3</t>
  </si>
  <si>
    <t>Look-up Table Values</t>
  </si>
  <si>
    <t>Code</t>
  </si>
  <si>
    <t>HEC (mg/m3)</t>
  </si>
  <si>
    <t>HEC Percentiles</t>
  </si>
  <si>
    <t>Exposure Percentiles</t>
  </si>
  <si>
    <t>Target Cancer Risk Level</t>
  </si>
  <si>
    <t>AEGLs</t>
  </si>
  <si>
    <t>AEGL, 2009</t>
  </si>
  <si>
    <t>Maximum</t>
  </si>
  <si>
    <t>99th Percentile</t>
  </si>
  <si>
    <t>HEC</t>
  </si>
  <si>
    <t>95th Percentile</t>
  </si>
  <si>
    <t>50th Percentile</t>
  </si>
  <si>
    <t>5th Percentile</t>
  </si>
  <si>
    <t>Minimum</t>
  </si>
  <si>
    <t>Mean</t>
  </si>
  <si>
    <t>Acute and Chronic, Non-Cancer Parameters</t>
  </si>
  <si>
    <t>Cancer Parameters</t>
  </si>
  <si>
    <t>HEC conversion factor</t>
  </si>
  <si>
    <t>HED (mg/kg/day)</t>
  </si>
  <si>
    <t>Benchmark MOE</t>
  </si>
  <si>
    <r>
      <t>IUR (ppm</t>
    </r>
    <r>
      <rPr>
        <b/>
        <vertAlign val="superscript"/>
        <sz val="11"/>
        <color theme="1"/>
        <rFont val="Calibri"/>
        <family val="2"/>
        <scheme val="minor"/>
      </rPr>
      <t>-1</t>
    </r>
    <r>
      <rPr>
        <b/>
        <sz val="11"/>
        <color theme="1"/>
        <rFont val="Calibri"/>
        <family val="2"/>
        <scheme val="minor"/>
      </rPr>
      <t>)</t>
    </r>
  </si>
  <si>
    <t>OSP (mg/kg-1)</t>
  </si>
  <si>
    <t>ppm/mg/m3</t>
  </si>
  <si>
    <t>Neurotoxicity (8-hr)</t>
  </si>
  <si>
    <t>increased latencies for pattern reversal visual-evoked potentials</t>
  </si>
  <si>
    <t>Tox21</t>
  </si>
  <si>
    <t>Neurotoxicity (12-hr)</t>
  </si>
  <si>
    <t>Tox22</t>
  </si>
  <si>
    <t>PERC MW</t>
  </si>
  <si>
    <t>g/mol</t>
  </si>
  <si>
    <t>Molar Volume</t>
  </si>
  <si>
    <t>L/mol</t>
  </si>
  <si>
    <t>--</t>
  </si>
  <si>
    <t>Visual reproduction, pattern memory, pattern recognition, Reaction time in pattern memory, adult, occupational (human)</t>
  </si>
  <si>
    <t>Neurological (8-hr); EPA, 2012</t>
  </si>
  <si>
    <t>Midpoint of range of LOAECs from two key neurological studies</t>
  </si>
  <si>
    <t>Tox24</t>
  </si>
  <si>
    <t>Neurological (12-hr); EPA, 2012</t>
  </si>
  <si>
    <t>Tox25</t>
  </si>
  <si>
    <t>Developmental; EPA, 2012 Table 5-8</t>
  </si>
  <si>
    <t>Developmental; EPA, 2012 Table 5-9</t>
  </si>
  <si>
    <t>JISA 1993</t>
  </si>
  <si>
    <t>Look-up Name</t>
  </si>
  <si>
    <t>Condition of Use </t>
  </si>
  <si>
    <t>Bin</t>
  </si>
  <si>
    <t>Max Yderm</t>
  </si>
  <si>
    <t>Occlusion Considered?</t>
  </si>
  <si>
    <r>
      <t>Fraction Absorbed, f</t>
    </r>
    <r>
      <rPr>
        <b/>
        <vertAlign val="subscript"/>
        <sz val="11"/>
        <color theme="1"/>
        <rFont val="Calibri"/>
        <family val="2"/>
        <scheme val="minor"/>
      </rPr>
      <t>abs</t>
    </r>
  </si>
  <si>
    <t>Occluded Fraction Absorbed</t>
  </si>
  <si>
    <t>No</t>
  </si>
  <si>
    <t>Manufacturing - 12-hr TWA</t>
  </si>
  <si>
    <t>Repackaging</t>
  </si>
  <si>
    <t>Processing as Reactant/Intermediate - 8-hr TWA</t>
  </si>
  <si>
    <t>Processing as Reactant/Intermediate - 12-hr TWA</t>
  </si>
  <si>
    <t>Incorporation into Formulation - Aerosol Packing</t>
  </si>
  <si>
    <t>Incorporation into Formulation - Degreasing Solvent</t>
  </si>
  <si>
    <t>Incorporation into Formulation - Dry Cleaning Solvent</t>
  </si>
  <si>
    <t>Incorporation into Formulation - Miscellaneous</t>
  </si>
  <si>
    <t>Open-top Vapor Degreasing</t>
  </si>
  <si>
    <t>Yes</t>
  </si>
  <si>
    <t>Closed Loop Vapor Degreasing</t>
  </si>
  <si>
    <t>Conveyorized Vapor Degreasing</t>
  </si>
  <si>
    <t>Web Degreasing</t>
  </si>
  <si>
    <t>Cold Cleaning</t>
  </si>
  <si>
    <t>Aerosol Degreasing/Lubricants</t>
  </si>
  <si>
    <t>Post-2006 Dry Cleaning (including spot cleaning)</t>
  </si>
  <si>
    <t>4th/5th Gen Only Dry Cleaning (including spot cleaning)</t>
  </si>
  <si>
    <t>Paints/Coatings (commercial)</t>
  </si>
  <si>
    <t>Paints/Coatings (industrial)</t>
  </si>
  <si>
    <t>Adhesives (commercial)</t>
  </si>
  <si>
    <t>Adhesives (industrial)</t>
  </si>
  <si>
    <t>Chemical Maskant</t>
  </si>
  <si>
    <t>Industrial Processing Aid</t>
  </si>
  <si>
    <t>Other Industrial Uses - Miscellaneous</t>
  </si>
  <si>
    <t>Other Industrial Uses - Textile Processing</t>
  </si>
  <si>
    <t>Other Industrial Uses - Wood Furniture Manufacturing</t>
  </si>
  <si>
    <t>Other Industrial Uses - Foundry Applications</t>
  </si>
  <si>
    <t>Metalworking Fluid</t>
  </si>
  <si>
    <t>Wipe Cleaning and Metal/Stone Polishes</t>
  </si>
  <si>
    <t>Other Spot Cleaning/Spot Removers (Including Carpet Cleaning)</t>
  </si>
  <si>
    <t>Other Commercial Uses - Printing</t>
  </si>
  <si>
    <t>Other Commercial Uses - Photocopying</t>
  </si>
  <si>
    <t>Other Commercial Uses - Photographic Film</t>
  </si>
  <si>
    <t>Other Commercial Uses - Mold Release</t>
  </si>
  <si>
    <t>Other DOD Uses - Water Pipe Repair</t>
  </si>
  <si>
    <t>Other DOD Uses - Oil analysis</t>
  </si>
  <si>
    <t>Laboratory Chemicals</t>
  </si>
  <si>
    <t>Disposal/Recycling</t>
  </si>
  <si>
    <t>For Dashboard</t>
  </si>
  <si>
    <t>Dermal Calculation Numbers</t>
  </si>
  <si>
    <t>Calculated Doses</t>
  </si>
  <si>
    <t>Exposure Category</t>
  </si>
  <si>
    <r>
      <t>Max Y</t>
    </r>
    <r>
      <rPr>
        <b/>
        <vertAlign val="subscript"/>
        <sz val="11"/>
        <color rgb="FF000000"/>
        <rFont val="Calibri"/>
        <family val="2"/>
        <scheme val="minor"/>
      </rPr>
      <t>derm</t>
    </r>
  </si>
  <si>
    <r>
      <t>Calculated Fraction Absorbed, F</t>
    </r>
    <r>
      <rPr>
        <vertAlign val="subscript"/>
        <sz val="11"/>
        <color theme="1"/>
        <rFont val="Calibri"/>
        <family val="2"/>
        <scheme val="minor"/>
      </rPr>
      <t>abs</t>
    </r>
  </si>
  <si>
    <t>Exposure Frequency (EF)
(days/yr)</t>
  </si>
  <si>
    <t>Exposure Frequency (FT)
(event/day)</t>
  </si>
  <si>
    <r>
      <t>2-Hand Surface Area (cm</t>
    </r>
    <r>
      <rPr>
        <b/>
        <vertAlign val="superscript"/>
        <sz val="11"/>
        <color theme="1"/>
        <rFont val="Calibri"/>
        <family val="2"/>
        <scheme val="minor"/>
      </rPr>
      <t>2</t>
    </r>
    <r>
      <rPr>
        <b/>
        <sz val="11"/>
        <color theme="1"/>
        <rFont val="Calibri"/>
        <family val="2"/>
        <scheme val="minor"/>
      </rPr>
      <t>)</t>
    </r>
  </si>
  <si>
    <t>Body Weight (kg)</t>
  </si>
  <si>
    <r>
      <t>Quantity Remaining on Skin (Qu) 
(mg/cm</t>
    </r>
    <r>
      <rPr>
        <b/>
        <vertAlign val="superscript"/>
        <sz val="11"/>
        <color theme="1"/>
        <rFont val="Calibri"/>
        <family val="2"/>
        <scheme val="minor"/>
      </rPr>
      <t>2</t>
    </r>
    <r>
      <rPr>
        <b/>
        <sz val="11"/>
        <color theme="1"/>
        <rFont val="Calibri"/>
        <family val="2"/>
        <scheme val="minor"/>
      </rPr>
      <t>-event)</t>
    </r>
  </si>
  <si>
    <t>Worker Type</t>
  </si>
  <si>
    <r>
      <t>APDR</t>
    </r>
    <r>
      <rPr>
        <b/>
        <vertAlign val="subscript"/>
        <sz val="11"/>
        <color theme="1"/>
        <rFont val="Calibri"/>
        <family val="2"/>
        <scheme val="minor"/>
      </rPr>
      <t>exp</t>
    </r>
    <r>
      <rPr>
        <b/>
        <sz val="11"/>
        <color theme="1"/>
        <rFont val="Calibri"/>
        <family val="2"/>
        <scheme val="minor"/>
      </rPr>
      <t xml:space="preserve"> (mg/day)</t>
    </r>
  </si>
  <si>
    <r>
      <t>ARD</t>
    </r>
    <r>
      <rPr>
        <b/>
        <vertAlign val="subscript"/>
        <sz val="11"/>
        <rFont val="Calibri"/>
        <family val="2"/>
        <scheme val="minor"/>
      </rPr>
      <t>PCE</t>
    </r>
    <r>
      <rPr>
        <b/>
        <sz val="11"/>
        <rFont val="Calibri"/>
        <family val="2"/>
        <scheme val="minor"/>
      </rPr>
      <t xml:space="preserve"> (mg/kg-day)</t>
    </r>
  </si>
  <si>
    <r>
      <t>CRD</t>
    </r>
    <r>
      <rPr>
        <b/>
        <vertAlign val="subscript"/>
        <sz val="11"/>
        <rFont val="Calibri"/>
        <family val="2"/>
        <scheme val="minor"/>
      </rPr>
      <t xml:space="preserve">PCE </t>
    </r>
    <r>
      <rPr>
        <b/>
        <sz val="11"/>
        <rFont val="Calibri"/>
        <family val="2"/>
        <scheme val="minor"/>
      </rPr>
      <t>(mg/kg-day)</t>
    </r>
  </si>
  <si>
    <t>For Risk Reduction (RR) Heat Map</t>
  </si>
  <si>
    <t>OES Group</t>
  </si>
  <si>
    <t>Exposure Scenario</t>
  </si>
  <si>
    <t>Exposure Days/yr</t>
  </si>
  <si>
    <t>Eight-Hour TWA Exposures</t>
  </si>
  <si>
    <t>Short-term Exposures</t>
  </si>
  <si>
    <t>Short-term Exposure Duration</t>
  </si>
  <si>
    <t>15-Minute Exposures Only</t>
  </si>
  <si>
    <t>Eight-Hour TWA Data Points</t>
  </si>
  <si>
    <t>Short-Term Data Points</t>
  </si>
  <si>
    <t>15-Minute Data Points</t>
  </si>
  <si>
    <t>Sources &amp; Notes</t>
  </si>
  <si>
    <t>Data Type</t>
  </si>
  <si>
    <r>
      <t>C</t>
    </r>
    <r>
      <rPr>
        <b/>
        <vertAlign val="subscript"/>
        <sz val="10"/>
        <rFont val="Calibri"/>
        <family val="2"/>
        <scheme val="minor"/>
      </rPr>
      <t>PCE, Short-Term</t>
    </r>
    <r>
      <rPr>
        <b/>
        <sz val="10"/>
        <rFont val="Calibri"/>
        <family val="2"/>
        <scheme val="minor"/>
      </rPr>
      <t xml:space="preserve"> (ppm)</t>
    </r>
  </si>
  <si>
    <r>
      <t>t</t>
    </r>
    <r>
      <rPr>
        <b/>
        <vertAlign val="subscript"/>
        <sz val="10"/>
        <color theme="1"/>
        <rFont val="Calibri"/>
        <family val="2"/>
        <scheme val="minor"/>
      </rPr>
      <t>Short</t>
    </r>
    <r>
      <rPr>
        <b/>
        <sz val="10"/>
        <color theme="1"/>
        <rFont val="Calibri"/>
        <family val="2"/>
        <scheme val="minor"/>
      </rPr>
      <t xml:space="preserve"> (min)</t>
    </r>
  </si>
  <si>
    <r>
      <t>C</t>
    </r>
    <r>
      <rPr>
        <b/>
        <vertAlign val="subscript"/>
        <sz val="10"/>
        <rFont val="Calibri"/>
        <family val="2"/>
        <scheme val="minor"/>
      </rPr>
      <t>PCE, 15-minute</t>
    </r>
    <r>
      <rPr>
        <b/>
        <sz val="10"/>
        <rFont val="Calibri"/>
        <family val="2"/>
        <scheme val="minor"/>
      </rPr>
      <t xml:space="preserve"> (ppm)</t>
    </r>
  </si>
  <si>
    <r>
      <t>AC</t>
    </r>
    <r>
      <rPr>
        <b/>
        <vertAlign val="subscript"/>
        <sz val="10"/>
        <color theme="1"/>
        <rFont val="Calibri"/>
        <family val="2"/>
        <scheme val="minor"/>
      </rPr>
      <t>PCE, 24-hr TWA</t>
    </r>
    <r>
      <rPr>
        <b/>
        <sz val="10"/>
        <color theme="1"/>
        <rFont val="Calibri"/>
        <family val="2"/>
        <scheme val="minor"/>
      </rPr>
      <t xml:space="preserve"> (ppm)</t>
    </r>
  </si>
  <si>
    <t>1a</t>
  </si>
  <si>
    <t>8-hr</t>
  </si>
  <si>
    <t>HSIA Public Comment</t>
  </si>
  <si>
    <t>1b</t>
  </si>
  <si>
    <t>12-hr</t>
  </si>
  <si>
    <t>HSIA Public Comment - uses LOD and LOD/2 for HE and CT, respectively as all three values were below the LOD.</t>
  </si>
  <si>
    <t>Pulley and Meier, 1983; OSHA, 2020 - used max and median values for short-term as only five data points were available; the 15-min central tendency is the midpoint of the maximum and the LOD as only two data points were available, one of which measured below the LOD</t>
  </si>
  <si>
    <t>12a</t>
  </si>
  <si>
    <t>Surrogate data from manufacture</t>
  </si>
  <si>
    <t>12b</t>
  </si>
  <si>
    <t>13a</t>
  </si>
  <si>
    <t>NIOSH, 1987; OSHA 2020</t>
  </si>
  <si>
    <t>13b</t>
  </si>
  <si>
    <t>Drum Loading Model</t>
  </si>
  <si>
    <t>Modeled Data</t>
  </si>
  <si>
    <t>13c</t>
  </si>
  <si>
    <t>13d</t>
  </si>
  <si>
    <t>2a</t>
  </si>
  <si>
    <t>various; used max and median values for short-term as only three data points were available; only one data point available for 15-minute TWA</t>
  </si>
  <si>
    <t>various</t>
  </si>
  <si>
    <t>various; used max and median values for short-term as only three data pointes were available</t>
  </si>
  <si>
    <t>various - used max and min values as only two data points were available</t>
  </si>
  <si>
    <t>Conveyorized Degreasing Model</t>
  </si>
  <si>
    <t>Web Degreasing Model</t>
  </si>
  <si>
    <t>6a</t>
  </si>
  <si>
    <t>NIOSH, 2002; Griffith, 1994  - used max and median values for short-term as only five data points were available</t>
  </si>
  <si>
    <t>6b</t>
  </si>
  <si>
    <t>Cold Cleaning Model</t>
  </si>
  <si>
    <t>7a</t>
  </si>
  <si>
    <t>Cosgrove, 1994; Nyberg and Mainz, 1993; Olberding and Mainz, 1992; Nyberg, 1994; OSHA, 2020</t>
  </si>
  <si>
    <t>7b</t>
  </si>
  <si>
    <t>Brake Servicing Model</t>
  </si>
  <si>
    <t>8a</t>
  </si>
  <si>
    <t>OSHA, 2017; DOD, 2018; OSHA, 2020</t>
  </si>
  <si>
    <t>OSHA, 2017; DOD, 2018 - only one data point available</t>
  </si>
  <si>
    <t>8b</t>
  </si>
  <si>
    <t>various - used max and median values as only four data points wer available</t>
  </si>
  <si>
    <t>8c</t>
  </si>
  <si>
    <t>Dry Cleaning Model</t>
  </si>
  <si>
    <t>9a</t>
  </si>
  <si>
    <t>various - used max and median values for 15-minute TWA as only five data points were available</t>
  </si>
  <si>
    <t>No data or model available</t>
  </si>
  <si>
    <t>9b</t>
  </si>
  <si>
    <t>9c</t>
  </si>
  <si>
    <t>Gromiec et al., 2002</t>
  </si>
  <si>
    <t>9d</t>
  </si>
  <si>
    <t>NIOSH, 1977; OSHA, 2020; AC Products, 2020; Spirit Aerosystems, 2020</t>
  </si>
  <si>
    <t>Axe, 1979; Sorrell, 1983; Dommer, 1983 - used max and median values for short-term as only two data points were available</t>
  </si>
  <si>
    <t>15a</t>
  </si>
  <si>
    <t>OSHA, 2020</t>
  </si>
  <si>
    <t>15b</t>
  </si>
  <si>
    <t>15c</t>
  </si>
  <si>
    <t>15d</t>
  </si>
  <si>
    <t>2011 ESD on Use of Metalworking Fluids - May underestimate exposure as value ony includes mist portion, additional exposure may occur to volatilized PCE</t>
  </si>
  <si>
    <t>NIOSH, 1979; 1983; used max and median values as only four data pointes were available</t>
  </si>
  <si>
    <t>NIOSH, 1979</t>
  </si>
  <si>
    <t>NIOSH, 1996; OSHA, 2020 - Used max and median values as only four data points were identified</t>
  </si>
  <si>
    <t>NIOSH, 1996 - Only one data point available</t>
  </si>
  <si>
    <t>19a</t>
  </si>
  <si>
    <t>19b</t>
  </si>
  <si>
    <t>Stefaniak et al., 1999 - Used max and median values as only three data points were identified</t>
  </si>
  <si>
    <t>19c</t>
  </si>
  <si>
    <t>NIOSH, 1980</t>
  </si>
  <si>
    <t>19d</t>
  </si>
  <si>
    <t>NIOSH, 1985</t>
  </si>
  <si>
    <t>20a</t>
  </si>
  <si>
    <t>DOD, 2018 - Only one data point available and it measured below the LOD; therefore, the high-end is assessed at the LOD and the central tendency is assessed at the LOD/2</t>
  </si>
  <si>
    <t>20b</t>
  </si>
  <si>
    <t>DOD, 2018 - Only one data point available each for 8-hr TWA, 60-min TWA, and 15-minute TWA</t>
  </si>
  <si>
    <t>Exposure Factors</t>
  </si>
  <si>
    <t>Female of Reproductive Age</t>
  </si>
  <si>
    <t>Characterization of Value</t>
  </si>
  <si>
    <t>Body Weight, BW (kg)</t>
  </si>
  <si>
    <r>
      <t>2 Hand Surface Area (cm</t>
    </r>
    <r>
      <rPr>
        <b/>
        <vertAlign val="superscript"/>
        <sz val="11"/>
        <color theme="1"/>
        <rFont val="Calibri"/>
        <family val="2"/>
        <scheme val="minor"/>
      </rPr>
      <t>2</t>
    </r>
    <r>
      <rPr>
        <b/>
        <sz val="11"/>
        <color theme="1"/>
        <rFont val="Calibri"/>
        <family val="2"/>
        <scheme val="minor"/>
      </rPr>
      <t>) - High-End</t>
    </r>
  </si>
  <si>
    <r>
      <t>2 Hand Surface Area (cm</t>
    </r>
    <r>
      <rPr>
        <b/>
        <vertAlign val="superscript"/>
        <sz val="11"/>
        <color theme="1"/>
        <rFont val="Calibri"/>
        <family val="2"/>
        <scheme val="minor"/>
      </rPr>
      <t>2</t>
    </r>
    <r>
      <rPr>
        <b/>
        <sz val="11"/>
        <color theme="1"/>
        <rFont val="Calibri"/>
        <family val="2"/>
        <scheme val="minor"/>
      </rPr>
      <t>) - Central Tendency</t>
    </r>
  </si>
  <si>
    <t>Working Years - High-End (yr)</t>
  </si>
  <si>
    <t>Working Years - Central Tendency (yr)</t>
  </si>
  <si>
    <t>Lifetime</t>
  </si>
  <si>
    <t>Woman of Childbearing Age Exposure Factors:</t>
  </si>
  <si>
    <t>Body Weight:</t>
  </si>
  <si>
    <t>From the Exposure Factors Handbook Table 8-5: Mean and Percentile Body Weights (kg) for Females Derived from NHANES (1990-2006) (1)</t>
  </si>
  <si>
    <t>Age 16 to &lt;21 years: 65.9 kg (mean)</t>
  </si>
  <si>
    <t>Age 21 to &lt;30 years: 71.9 kg (mean)</t>
  </si>
  <si>
    <t>Age 30 to &lt;40 years: 74.8 kg (mean)</t>
  </si>
  <si>
    <t>Age 40 to &lt;50 years: 77.1 kg (mean)</t>
  </si>
  <si>
    <t>(1) U.S. Environmental Protection Agency (EPA). (2011) Exposure Factors Handbook: 2011 Edition. National Center for Environmental Assessment, Washington, DC; EPA/600/R-09/052F. Available from the National Technical Information Service, Springfield, VA, and online at http://www.epa.gov/ncea/efh.</t>
  </si>
  <si>
    <t>Conditions of Use</t>
  </si>
  <si>
    <t>Exposure Data Types</t>
  </si>
  <si>
    <t>Exposure Type</t>
  </si>
  <si>
    <t>Perchloroethylene</t>
  </si>
  <si>
    <t>Value</t>
  </si>
  <si>
    <t>Unit</t>
  </si>
  <si>
    <t>MW</t>
  </si>
  <si>
    <t>BMDL Percentile</t>
  </si>
  <si>
    <t>Parameter Name</t>
  </si>
  <si>
    <t>Symbol</t>
  </si>
  <si>
    <t>Exposure Duration (8-hr)</t>
  </si>
  <si>
    <t>ED_8</t>
  </si>
  <si>
    <t xml:space="preserve">hr/day </t>
  </si>
  <si>
    <t>Exposure Duration (12-hr)</t>
  </si>
  <si>
    <t>ED_12</t>
  </si>
  <si>
    <t>Acute Exposure Averaging Time</t>
  </si>
  <si>
    <t>AT</t>
  </si>
  <si>
    <t>Assigned Respirator Protection Factor</t>
  </si>
  <si>
    <t xml:space="preserve">Exposure Frequency </t>
  </si>
  <si>
    <t>EF</t>
  </si>
  <si>
    <t xml:space="preserve">day/yr </t>
  </si>
  <si>
    <t>Working Years Per Lifetime (Mid)</t>
  </si>
  <si>
    <t>WY_mid</t>
  </si>
  <si>
    <t xml:space="preserve">yr </t>
  </si>
  <si>
    <t>Working Years Per Lifetime (High)</t>
  </si>
  <si>
    <t>WY_high</t>
  </si>
  <si>
    <t>Lifetime Years for LADC</t>
  </si>
  <si>
    <t>LT</t>
  </si>
  <si>
    <t>Averaging time For ADC (Mid)</t>
  </si>
  <si>
    <t>AT_ADC_mid</t>
  </si>
  <si>
    <t xml:space="preserve">hr </t>
  </si>
  <si>
    <t>Averaging time For ADC (High)</t>
  </si>
  <si>
    <t>AT_ADC_high</t>
  </si>
  <si>
    <t>Averaging time For LADC</t>
  </si>
  <si>
    <t>AT_LADC</t>
  </si>
  <si>
    <t>Assigned Glove Protection Factor</t>
  </si>
  <si>
    <t>General uses, PF = 5</t>
  </si>
  <si>
    <t>Commercial uses, PF = 10</t>
  </si>
  <si>
    <t>Industrial uses, PF = 20</t>
  </si>
  <si>
    <t>CASRN: 127-18-4</t>
  </si>
  <si>
    <t>December 2020</t>
  </si>
  <si>
    <t>Description of this workbook:</t>
  </si>
  <si>
    <t>Worksheet</t>
  </si>
  <si>
    <t>Description</t>
  </si>
  <si>
    <t>Dashboard</t>
  </si>
  <si>
    <t>RR</t>
  </si>
  <si>
    <t>The RR spreadsheet is an expanded version of the Dashboard. Similar to the Dashboard the RR allows the user to select a OES. However, the user also selected to see results for a worker or ONU and instead of requiring a user to select a single exposure reduction option, the Heat Map displays all the PPE options. The RR spreadsheet has a column each for no PPE and each PPE option (i.e. APF or PF). The RR spreadsheet has a row for each toxicity endpoint, and each row shows the cancer risk or MOE values. Similar to the Dashboard, the RR spreadsheet shades results if the MOE or cancer risk exceeds the benchmark MOE or cancer benchmark.</t>
  </si>
  <si>
    <t>Exposure Results,
Dermal Crosswalk, 
Dermal Exposure, 
Exposure Factors, 
Hazard Values, and 
List Values</t>
  </si>
  <si>
    <t>As described above the remaining spreadsheets are data storage and calculation spreadsheets. These worksheets store the exposure estimates, health values and store some of the risk calculations. The user does not need to access these worksheets to use the Dashboard and RR spreadsheets as described above; all results are automatically loaded into the Dashboard and RR spreadsheets.</t>
  </si>
  <si>
    <t>The risk calculator workbook contains the following spreadsheets: Dashboard, RR, Inhalation Exposure, Dermal Crosswalk, Dermal Exposure, Exposure Factors, Hazard Values, and List Values. The workbook is designed such that the user need only to use the first two spreadsheets which have tabs colored green and contain the results of the risk calculator i.e. the Dashboard and the RR. The remaining spreadsheets contain data storage and calculation spreadsheets.</t>
  </si>
  <si>
    <t>The Dashboard is an interactive spreadsheet that allows a user to view exposure results for a selected Occupational Exposure Scenario (OES) and with a single PPE option of their choosing (i.e. respirator APF or Glove Protection Factor PF). The user can select the desired OES, PPE options and for dermal exposures the worker type (either an average adult or a female of reproductive age) from a drop-down menu. The exposure estimates are shown in the “Exposure Outputs” section for both inhalation and dermal routes and for high-end and central tendency exposures. For inhalation exposures the columns show results for both worker and ONU exposures. The “Risk Estimation” sections are separated into acute, chronic non-cancer and cancer sections. For each section there is a brief description of the hazard endpoint and the hazard value i.e. HEC for non-cancer effects from inhalation exposure, HED for non-cancer effects from dermal exposure or a slope factor for cancer and the benchmark MOEs or benchmark values for cancer risk are provided to the right of the hazard value. The risk estimations show two columns of risk estimates: one column for exposures without PPE and one column for the results of the user-selected PPE option. These two columns allow the user to compare with and without PPE results side-by-side. The Dashboard automatically shades the cancer risk and MOE cells when they exceed the cancer benchmark or the benchmark MOE value.</t>
  </si>
  <si>
    <t>Supplemental Information File:
Risk Calculator for Occupational Exposures</t>
  </si>
  <si>
    <t>Final Risk Evaluation for Perchloroethylene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</si>
</sst>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0.0E+00"/>
    <numFmt numFmtId="167" formatCode="0.0000"/>
    <numFmt numFmtId="168" formatCode="0.0%"/>
    <numFmt numFmtId="169" formatCode="0.000E+00"/>
  </numFmts>
  <fonts count="45"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b/>
      <vertAlign val="superscript"/>
      <sz val="11"/>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vertAlign val="subscript"/>
      <sz val="10"/>
      <name val="Calibri"/>
      <family val="2"/>
      <scheme val="minor"/>
    </font>
    <font>
      <b/>
      <sz val="16"/>
      <name val="Calibri"/>
      <family val="2"/>
      <scheme val="minor"/>
    </font>
    <font>
      <sz val="10"/>
      <name val="Calibri"/>
      <family val="2"/>
      <scheme val="minor"/>
    </font>
    <font>
      <b/>
      <vertAlign val="superscript"/>
      <sz val="10"/>
      <color theme="1"/>
      <name val="Calibri"/>
      <family val="2"/>
      <scheme val="minor"/>
    </font>
    <font>
      <sz val="11"/>
      <color theme="0" tint="-4.9989318521683403E-2"/>
      <name val="Calibri"/>
      <family val="2"/>
      <scheme val="minor"/>
    </font>
    <font>
      <b/>
      <vertAlign val="subscript"/>
      <sz val="10"/>
      <color theme="1"/>
      <name val="Calibri"/>
      <family val="2"/>
      <scheme val="minor"/>
    </font>
    <font>
      <sz val="11"/>
      <color rgb="FFFF0000"/>
      <name val="Calibri"/>
      <family val="2"/>
      <scheme val="minor"/>
    </font>
    <font>
      <u/>
      <sz val="11"/>
      <color theme="1"/>
      <name val="Calibri"/>
      <family val="2"/>
      <scheme val="minor"/>
    </font>
    <font>
      <i/>
      <sz val="11"/>
      <color theme="1"/>
      <name val="Calibri"/>
      <family val="2"/>
      <scheme val="minor"/>
    </font>
    <font>
      <b/>
      <i/>
      <sz val="16"/>
      <name val="Calibri"/>
      <family val="2"/>
      <scheme val="minor"/>
    </font>
    <font>
      <sz val="14"/>
      <color theme="1"/>
      <name val="Calibri"/>
      <family val="2"/>
      <scheme val="minor"/>
    </font>
    <font>
      <sz val="14"/>
      <name val="Calibri"/>
      <family val="2"/>
      <scheme val="minor"/>
    </font>
    <font>
      <b/>
      <i/>
      <sz val="14"/>
      <name val="Calibri"/>
      <family val="2"/>
      <scheme val="minor"/>
    </font>
    <font>
      <b/>
      <sz val="14"/>
      <name val="Calibri"/>
      <family val="2"/>
      <scheme val="minor"/>
    </font>
    <font>
      <sz val="10"/>
      <color rgb="FF000000"/>
      <name val="Calibri"/>
      <family val="2"/>
      <scheme val="minor"/>
    </font>
    <font>
      <b/>
      <sz val="11"/>
      <color theme="9" tint="0.79998168889431442"/>
      <name val="Calibri"/>
      <family val="2"/>
      <scheme val="minor"/>
    </font>
    <font>
      <b/>
      <i/>
      <sz val="10"/>
      <name val="Calibri"/>
      <family val="2"/>
      <scheme val="minor"/>
    </font>
    <font>
      <b/>
      <sz val="10"/>
      <color theme="8" tint="0.79998168889431442"/>
      <name val="Calibri"/>
      <family val="2"/>
      <scheme val="minor"/>
    </font>
    <font>
      <sz val="10"/>
      <color rgb="FFFF0000"/>
      <name val="Calibri"/>
      <family val="2"/>
      <scheme val="minor"/>
    </font>
    <font>
      <sz val="10"/>
      <color theme="0" tint="-4.9989318521683403E-2"/>
      <name val="Calibri"/>
      <family val="2"/>
      <scheme val="minor"/>
    </font>
    <font>
      <sz val="10"/>
      <name val="Arial"/>
      <family val="2"/>
    </font>
    <font>
      <sz val="10"/>
      <name val="Calibri"/>
      <family val="2"/>
    </font>
    <font>
      <b/>
      <sz val="12"/>
      <name val="Calibri"/>
      <family val="2"/>
    </font>
    <font>
      <vertAlign val="superscript"/>
      <sz val="10"/>
      <color theme="1"/>
      <name val="Calibri"/>
      <family val="2"/>
      <scheme val="minor"/>
    </font>
    <font>
      <sz val="8"/>
      <name val="Calibri"/>
      <family val="2"/>
      <scheme val="minor"/>
    </font>
    <font>
      <sz val="11"/>
      <color theme="1"/>
      <name val="Calibri"/>
      <family val="2"/>
      <scheme val="minor"/>
    </font>
    <font>
      <b/>
      <sz val="11"/>
      <color rgb="FF000000"/>
      <name val="Calibri"/>
      <family val="2"/>
      <scheme val="minor"/>
    </font>
    <font>
      <b/>
      <vertAlign val="subscript"/>
      <sz val="11"/>
      <color theme="1"/>
      <name val="Calibri"/>
      <family val="2"/>
      <scheme val="minor"/>
    </font>
    <font>
      <b/>
      <vertAlign val="subscript"/>
      <sz val="11"/>
      <color rgb="FF000000"/>
      <name val="Calibri"/>
      <family val="2"/>
      <scheme val="minor"/>
    </font>
    <font>
      <vertAlign val="subscript"/>
      <sz val="11"/>
      <color theme="1"/>
      <name val="Calibri"/>
      <family val="2"/>
      <scheme val="minor"/>
    </font>
    <font>
      <b/>
      <vertAlign val="subscript"/>
      <sz val="11"/>
      <name val="Calibri"/>
      <family val="2"/>
      <scheme val="minor"/>
    </font>
    <font>
      <b/>
      <sz val="10"/>
      <color rgb="FF000000"/>
      <name val="Calibri"/>
      <family val="2"/>
      <scheme val="minor"/>
    </font>
    <font>
      <b/>
      <sz val="10"/>
      <color rgb="FFFF0000"/>
      <name val="Calibri"/>
      <family val="2"/>
      <scheme val="minor"/>
    </font>
    <font>
      <b/>
      <sz val="16"/>
      <color theme="1"/>
      <name val="Times New Roman"/>
      <family val="1"/>
    </font>
    <font>
      <b/>
      <i/>
      <sz val="14"/>
      <color theme="1"/>
      <name val="Times New Roman"/>
      <family val="1"/>
    </font>
  </fonts>
  <fills count="1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39994506668294322"/>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lightUp">
        <bgColor theme="0" tint="-0.14996795556505021"/>
      </patternFill>
    </fill>
    <fill>
      <patternFill patternType="solid">
        <fgColor theme="0"/>
        <bgColor theme="4" tint="0.79998168889431442"/>
      </patternFill>
    </fill>
  </fills>
  <borders count="10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thin">
        <color auto="1"/>
      </bottom>
      <diagonal/>
    </border>
    <border>
      <left style="thin">
        <color auto="1"/>
      </left>
      <right/>
      <top style="dashed">
        <color auto="1"/>
      </top>
      <bottom/>
      <diagonal/>
    </border>
    <border>
      <left/>
      <right/>
      <top style="dashed">
        <color auto="1"/>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bottom style="medium">
        <color auto="1"/>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bottom style="medium">
        <color auto="1"/>
      </bottom>
      <diagonal/>
    </border>
    <border>
      <left/>
      <right style="medium">
        <color indexed="64"/>
      </right>
      <top/>
      <bottom/>
      <diagonal/>
    </border>
    <border>
      <left style="medium">
        <color indexed="64"/>
      </left>
      <right style="thin">
        <color indexed="64"/>
      </right>
      <top/>
      <bottom style="medium">
        <color indexed="64"/>
      </bottom>
      <diagonal/>
    </border>
    <border>
      <left style="thin">
        <color auto="1"/>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indexed="64"/>
      </right>
      <top/>
      <bottom/>
      <diagonal/>
    </border>
    <border>
      <left style="thin">
        <color indexed="64"/>
      </left>
      <right style="medium">
        <color indexed="64"/>
      </right>
      <top/>
      <bottom style="medium">
        <color indexed="64"/>
      </bottom>
      <diagonal/>
    </border>
    <border>
      <left/>
      <right style="medium">
        <color auto="1"/>
      </right>
      <top style="medium">
        <color auto="1"/>
      </top>
      <bottom style="thin">
        <color auto="1"/>
      </bottom>
      <diagonal/>
    </border>
    <border>
      <left style="medium">
        <color indexed="64"/>
      </left>
      <right style="medium">
        <color auto="1"/>
      </right>
      <top style="thin">
        <color indexed="64"/>
      </top>
      <bottom style="medium">
        <color indexed="64"/>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auto="1"/>
      </top>
      <bottom/>
      <diagonal/>
    </border>
    <border>
      <left/>
      <right style="thin">
        <color indexed="64"/>
      </right>
      <top style="medium">
        <color auto="1"/>
      </top>
      <bottom style="thin">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style="medium">
        <color indexed="64"/>
      </bottom>
      <diagonal/>
    </border>
    <border>
      <left style="thin">
        <color theme="0" tint="-0.14996795556505021"/>
      </left>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auto="1"/>
      </right>
      <top style="dashed">
        <color auto="1"/>
      </top>
      <bottom/>
      <diagonal/>
    </border>
    <border>
      <left style="thin">
        <color auto="1"/>
      </left>
      <right/>
      <top style="dashed">
        <color auto="1"/>
      </top>
      <bottom style="thin">
        <color auto="1"/>
      </bottom>
      <diagonal/>
    </border>
    <border>
      <left/>
      <right/>
      <top style="dashed">
        <color auto="1"/>
      </top>
      <bottom style="thin">
        <color auto="1"/>
      </bottom>
      <diagonal/>
    </border>
    <border>
      <left style="dotted">
        <color auto="1"/>
      </left>
      <right style="dotted">
        <color auto="1"/>
      </right>
      <top style="dotted">
        <color auto="1"/>
      </top>
      <bottom/>
      <diagonal/>
    </border>
    <border>
      <left style="dotted">
        <color auto="1"/>
      </left>
      <right style="medium">
        <color indexed="64"/>
      </right>
      <top style="dotted">
        <color auto="1"/>
      </top>
      <bottom/>
      <diagonal/>
    </border>
    <border>
      <left style="dotted">
        <color auto="1"/>
      </left>
      <right style="dotted">
        <color auto="1"/>
      </right>
      <top/>
      <bottom style="dotted">
        <color auto="1"/>
      </bottom>
      <diagonal/>
    </border>
    <border>
      <left style="dotted">
        <color auto="1"/>
      </left>
      <right style="medium">
        <color indexed="64"/>
      </right>
      <top/>
      <bottom style="dotted">
        <color auto="1"/>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style="dashed">
        <color indexed="64"/>
      </top>
      <bottom style="thin">
        <color auto="1"/>
      </bottom>
      <diagonal/>
    </border>
    <border>
      <left/>
      <right style="medium">
        <color indexed="64"/>
      </right>
      <top style="thin">
        <color indexed="64"/>
      </top>
      <bottom style="medium">
        <color indexed="64"/>
      </bottom>
      <diagonal/>
    </border>
    <border>
      <left/>
      <right style="medium">
        <color indexed="64"/>
      </right>
      <top style="thin">
        <color auto="1"/>
      </top>
      <bottom style="thin">
        <color indexed="64"/>
      </bottom>
      <diagonal/>
    </border>
    <border>
      <left style="medium">
        <color auto="1"/>
      </left>
      <right style="dotted">
        <color auto="1"/>
      </right>
      <top/>
      <bottom/>
      <diagonal/>
    </border>
    <border>
      <left style="medium">
        <color auto="1"/>
      </left>
      <right style="dotted">
        <color auto="1"/>
      </right>
      <top style="medium">
        <color auto="1"/>
      </top>
      <bottom/>
      <diagonal/>
    </border>
    <border>
      <left style="medium">
        <color auto="1"/>
      </left>
      <right style="dotted">
        <color auto="1"/>
      </right>
      <top/>
      <bottom style="medium">
        <color indexed="64"/>
      </bottom>
      <diagonal/>
    </border>
    <border>
      <left style="dotted">
        <color auto="1"/>
      </left>
      <right style="medium">
        <color indexed="64"/>
      </right>
      <top style="medium">
        <color auto="1"/>
      </top>
      <bottom/>
      <diagonal/>
    </border>
    <border>
      <left style="dotted">
        <color auto="1"/>
      </left>
      <right style="medium">
        <color indexed="64"/>
      </right>
      <top/>
      <bottom style="medium">
        <color indexed="64"/>
      </bottom>
      <diagonal/>
    </border>
    <border>
      <left style="dotted">
        <color auto="1"/>
      </left>
      <right style="dotted">
        <color auto="1"/>
      </right>
      <top style="medium">
        <color indexed="64"/>
      </top>
      <bottom/>
      <diagonal/>
    </border>
    <border>
      <left style="dotted">
        <color indexed="64"/>
      </left>
      <right style="dotted">
        <color auto="1"/>
      </right>
      <top/>
      <bottom style="medium">
        <color indexed="64"/>
      </bottom>
      <diagonal/>
    </border>
    <border>
      <left style="dotted">
        <color auto="1"/>
      </left>
      <right style="dotted">
        <color auto="1"/>
      </right>
      <top/>
      <bottom/>
      <diagonal/>
    </border>
    <border>
      <left style="dotted">
        <color auto="1"/>
      </left>
      <right style="medium">
        <color indexed="64"/>
      </right>
      <top/>
      <bottom/>
      <diagonal/>
    </border>
    <border>
      <left/>
      <right style="medium">
        <color indexed="64"/>
      </right>
      <top/>
      <bottom style="medium">
        <color indexed="64"/>
      </bottom>
      <diagonal/>
    </border>
    <border>
      <left/>
      <right/>
      <top style="medium">
        <color auto="1"/>
      </top>
      <bottom style="thin">
        <color auto="1"/>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auto="1"/>
      </left>
      <right/>
      <top/>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3">
    <xf numFmtId="0" fontId="0" fillId="0" borderId="0"/>
    <xf numFmtId="0" fontId="30" fillId="0" borderId="0"/>
    <xf numFmtId="9" fontId="35" fillId="0" borderId="0" applyFont="0" applyFill="0" applyBorder="0" applyAlignment="0" applyProtection="0"/>
  </cellStyleXfs>
  <cellXfs count="718">
    <xf numFmtId="0" fontId="0" fillId="0" borderId="0" xfId="0"/>
    <xf numFmtId="0" fontId="4" fillId="3" borderId="0" xfId="0" applyFont="1" applyFill="1"/>
    <xf numFmtId="0" fontId="0" fillId="3" borderId="0" xfId="0" applyFill="1"/>
    <xf numFmtId="0" fontId="0" fillId="3" borderId="2" xfId="0" applyFill="1" applyBorder="1"/>
    <xf numFmtId="0" fontId="0" fillId="3" borderId="3" xfId="0" applyFill="1" applyBorder="1"/>
    <xf numFmtId="0" fontId="1" fillId="3" borderId="3" xfId="0" applyFont="1" applyFill="1" applyBorder="1"/>
    <xf numFmtId="0" fontId="0" fillId="3" borderId="5" xfId="0" applyFill="1" applyBorder="1"/>
    <xf numFmtId="166" fontId="0" fillId="3" borderId="7" xfId="0" applyNumberFormat="1" applyFill="1" applyBorder="1"/>
    <xf numFmtId="0" fontId="0" fillId="3" borderId="7" xfId="0" applyFill="1" applyBorder="1"/>
    <xf numFmtId="0" fontId="0" fillId="3" borderId="6" xfId="0" applyFill="1" applyBorder="1"/>
    <xf numFmtId="0" fontId="0" fillId="3" borderId="8" xfId="0" applyFill="1" applyBorder="1"/>
    <xf numFmtId="0" fontId="0" fillId="3" borderId="9" xfId="0" applyFill="1" applyBorder="1"/>
    <xf numFmtId="0" fontId="1" fillId="3" borderId="15" xfId="0" applyFont="1" applyFill="1" applyBorder="1" applyAlignment="1">
      <alignment horizontal="center" wrapText="1"/>
    </xf>
    <xf numFmtId="0" fontId="1" fillId="3" borderId="13" xfId="0" applyFont="1" applyFill="1" applyBorder="1" applyAlignment="1">
      <alignment horizontal="center" wrapText="1"/>
    </xf>
    <xf numFmtId="0" fontId="1" fillId="3" borderId="14" xfId="0" applyFont="1" applyFill="1" applyBorder="1" applyAlignment="1">
      <alignment horizontal="center" wrapText="1"/>
    </xf>
    <xf numFmtId="0" fontId="0" fillId="3" borderId="0" xfId="0" applyFill="1" applyAlignment="1">
      <alignment horizontal="center" vertical="center"/>
    </xf>
    <xf numFmtId="0" fontId="0" fillId="3" borderId="0" xfId="0" applyFill="1" applyAlignment="1">
      <alignment vertical="center"/>
    </xf>
    <xf numFmtId="0" fontId="6" fillId="3" borderId="0" xfId="0" applyFont="1" applyFill="1" applyAlignment="1">
      <alignment vertical="center"/>
    </xf>
    <xf numFmtId="0" fontId="2" fillId="3" borderId="0" xfId="0" applyFont="1" applyFill="1" applyAlignment="1">
      <alignment vertical="center"/>
    </xf>
    <xf numFmtId="0" fontId="7" fillId="0" borderId="0" xfId="0" applyFont="1" applyAlignment="1">
      <alignment horizontal="center"/>
    </xf>
    <xf numFmtId="0" fontId="7" fillId="3" borderId="0" xfId="0" applyFont="1" applyFill="1"/>
    <xf numFmtId="0" fontId="7" fillId="0" borderId="0" xfId="0" applyFont="1"/>
    <xf numFmtId="0" fontId="7" fillId="0" borderId="1" xfId="0" applyFont="1" applyBorder="1" applyAlignment="1">
      <alignment horizontal="center" vertical="center" wrapText="1"/>
    </xf>
    <xf numFmtId="2" fontId="7" fillId="0" borderId="1" xfId="0" applyNumberFormat="1" applyFont="1" applyBorder="1" applyAlignment="1">
      <alignment horizontal="center" vertical="center"/>
    </xf>
    <xf numFmtId="0" fontId="3" fillId="3" borderId="0" xfId="0" applyFont="1" applyFill="1" applyAlignment="1">
      <alignment horizontal="center" vertical="center" wrapText="1"/>
    </xf>
    <xf numFmtId="0" fontId="2" fillId="3" borderId="0" xfId="0" applyFont="1" applyFill="1" applyAlignment="1">
      <alignment horizontal="center" vertical="center"/>
    </xf>
    <xf numFmtId="0" fontId="0" fillId="0" borderId="0" xfId="0" applyAlignment="1">
      <alignment vertical="center"/>
    </xf>
    <xf numFmtId="0" fontId="11" fillId="3" borderId="0" xfId="0" applyFont="1" applyFill="1" applyAlignment="1">
      <alignment vertical="center"/>
    </xf>
    <xf numFmtId="0" fontId="2" fillId="3" borderId="0" xfId="0" applyFont="1" applyFill="1" applyAlignment="1">
      <alignment vertical="center" wrapText="1"/>
    </xf>
    <xf numFmtId="0" fontId="12" fillId="3" borderId="0" xfId="0" applyFont="1" applyFill="1" applyAlignment="1">
      <alignment vertical="center"/>
    </xf>
    <xf numFmtId="0" fontId="12" fillId="3" borderId="0" xfId="0" applyFont="1" applyFill="1" applyAlignment="1">
      <alignment horizontal="center" vertical="center"/>
    </xf>
    <xf numFmtId="0" fontId="14" fillId="3" borderId="0" xfId="0" applyFont="1" applyFill="1" applyAlignment="1">
      <alignment vertical="center"/>
    </xf>
    <xf numFmtId="0" fontId="14" fillId="3" borderId="0" xfId="0" applyFont="1" applyFill="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1" fontId="7" fillId="0" borderId="1" xfId="0" applyNumberFormat="1" applyFont="1" applyBorder="1" applyAlignment="1">
      <alignment horizontal="center" vertical="center"/>
    </xf>
    <xf numFmtId="0" fontId="16" fillId="3" borderId="0" xfId="0" applyFont="1" applyFill="1" applyAlignment="1">
      <alignment vertical="center"/>
    </xf>
    <xf numFmtId="0" fontId="16" fillId="3" borderId="0" xfId="0" applyFont="1" applyFill="1" applyAlignment="1">
      <alignment horizontal="center" vertical="center"/>
    </xf>
    <xf numFmtId="0" fontId="16" fillId="3" borderId="0" xfId="0" applyFont="1" applyFill="1" applyAlignment="1">
      <alignment vertical="center" wrapText="1"/>
    </xf>
    <xf numFmtId="2" fontId="12" fillId="3" borderId="0" xfId="0" applyNumberFormat="1" applyFont="1" applyFill="1" applyAlignment="1">
      <alignment horizontal="center" vertical="center" wrapText="1"/>
    </xf>
    <xf numFmtId="1" fontId="9" fillId="3" borderId="0" xfId="0" applyNumberFormat="1" applyFont="1" applyFill="1" applyAlignment="1">
      <alignment horizontal="center" vertical="center" wrapText="1"/>
    </xf>
    <xf numFmtId="0" fontId="0" fillId="3" borderId="0" xfId="0" applyFill="1" applyAlignment="1">
      <alignment wrapText="1"/>
    </xf>
    <xf numFmtId="0" fontId="1" fillId="3" borderId="0" xfId="0" applyFont="1" applyFill="1"/>
    <xf numFmtId="0" fontId="18" fillId="3" borderId="0" xfId="0" applyFont="1" applyFill="1"/>
    <xf numFmtId="0" fontId="19" fillId="3" borderId="0" xfId="0" applyFont="1" applyFill="1" applyAlignment="1">
      <alignment vertical="center"/>
    </xf>
    <xf numFmtId="0" fontId="0" fillId="3" borderId="5" xfId="0" applyFill="1" applyBorder="1" applyAlignment="1">
      <alignment vertical="center"/>
    </xf>
    <xf numFmtId="0" fontId="20" fillId="3" borderId="0" xfId="0" applyFont="1" applyFill="1"/>
    <xf numFmtId="2" fontId="12" fillId="3" borderId="0" xfId="0" applyNumberFormat="1" applyFont="1" applyFill="1" applyAlignment="1">
      <alignment horizontal="center" vertical="center"/>
    </xf>
    <xf numFmtId="0" fontId="11" fillId="3" borderId="32" xfId="0" applyFont="1" applyFill="1" applyBorder="1" applyAlignment="1">
      <alignment vertical="center"/>
    </xf>
    <xf numFmtId="0" fontId="3" fillId="3" borderId="32" xfId="0" applyFont="1" applyFill="1" applyBorder="1" applyAlignment="1">
      <alignment vertical="center" wrapText="1"/>
    </xf>
    <xf numFmtId="2" fontId="12" fillId="0" borderId="16" xfId="0" applyNumberFormat="1" applyFont="1" applyBorder="1" applyAlignment="1">
      <alignment horizontal="center" vertical="center"/>
    </xf>
    <xf numFmtId="2" fontId="12" fillId="0" borderId="17" xfId="0" applyNumberFormat="1" applyFont="1" applyBorder="1" applyAlignment="1">
      <alignment horizontal="center" vertical="center"/>
    </xf>
    <xf numFmtId="0" fontId="12" fillId="3" borderId="0" xfId="0" applyFont="1" applyFill="1" applyAlignment="1">
      <alignment vertical="center" wrapText="1"/>
    </xf>
    <xf numFmtId="2" fontId="12" fillId="3" borderId="0" xfId="0" applyNumberFormat="1" applyFont="1" applyFill="1" applyAlignment="1">
      <alignment horizontal="left" vertical="center"/>
    </xf>
    <xf numFmtId="0" fontId="9" fillId="3" borderId="0" xfId="0" applyFont="1" applyFill="1" applyAlignment="1">
      <alignment vertical="center" wrapText="1"/>
    </xf>
    <xf numFmtId="0" fontId="7" fillId="3" borderId="0" xfId="0" applyFont="1" applyFill="1" applyAlignment="1">
      <alignment vertical="center" wrapText="1"/>
    </xf>
    <xf numFmtId="0" fontId="7" fillId="0" borderId="1" xfId="0" applyFont="1" applyBorder="1" applyAlignment="1">
      <alignment vertical="center" wrapText="1"/>
    </xf>
    <xf numFmtId="9" fontId="0" fillId="0" borderId="49" xfId="0" applyNumberFormat="1" applyBorder="1"/>
    <xf numFmtId="9" fontId="0" fillId="0" borderId="48" xfId="0" applyNumberFormat="1" applyBorder="1"/>
    <xf numFmtId="0" fontId="0" fillId="0" borderId="49" xfId="0" applyBorder="1"/>
    <xf numFmtId="0" fontId="0" fillId="0" borderId="48" xfId="0" applyBorder="1"/>
    <xf numFmtId="0" fontId="23" fillId="4" borderId="37" xfId="0" applyFont="1" applyFill="1" applyBorder="1" applyAlignment="1">
      <alignment horizontal="center" vertical="center" wrapText="1"/>
    </xf>
    <xf numFmtId="0" fontId="22" fillId="4" borderId="38" xfId="0" applyFont="1" applyFill="1" applyBorder="1" applyAlignment="1">
      <alignment horizontal="center" vertical="center" wrapText="1"/>
    </xf>
    <xf numFmtId="0" fontId="7" fillId="2" borderId="37" xfId="0" applyFont="1" applyFill="1" applyBorder="1" applyAlignment="1">
      <alignment horizontal="center" vertical="center"/>
    </xf>
    <xf numFmtId="2" fontId="12" fillId="0" borderId="25" xfId="0" applyNumberFormat="1" applyFont="1" applyBorder="1" applyAlignment="1">
      <alignment horizontal="center" vertical="center"/>
    </xf>
    <xf numFmtId="2" fontId="12" fillId="0" borderId="20" xfId="0" applyNumberFormat="1" applyFont="1" applyBorder="1" applyAlignment="1">
      <alignment horizontal="center" vertical="center"/>
    </xf>
    <xf numFmtId="11" fontId="0" fillId="3" borderId="1" xfId="0" applyNumberFormat="1" applyFill="1" applyBorder="1" applyAlignment="1">
      <alignment horizontal="center" vertical="center"/>
    </xf>
    <xf numFmtId="0" fontId="0" fillId="8" borderId="1" xfId="0" applyFill="1" applyBorder="1" applyAlignment="1">
      <alignment horizontal="center" vertical="center"/>
    </xf>
    <xf numFmtId="0" fontId="9" fillId="3" borderId="0" xfId="0" applyFont="1" applyFill="1" applyBorder="1" applyAlignment="1">
      <alignment horizontal="center" vertical="center" wrapText="1"/>
    </xf>
    <xf numFmtId="0" fontId="0" fillId="5" borderId="1" xfId="0" applyFill="1" applyBorder="1" applyAlignment="1">
      <alignment vertical="center"/>
    </xf>
    <xf numFmtId="0" fontId="0" fillId="3" borderId="0" xfId="0" applyFill="1" applyBorder="1"/>
    <xf numFmtId="0" fontId="9" fillId="5" borderId="20" xfId="0" applyFont="1" applyFill="1" applyBorder="1" applyAlignment="1">
      <alignment horizontal="center" vertical="center" wrapText="1"/>
    </xf>
    <xf numFmtId="0" fontId="9" fillId="3" borderId="0" xfId="0" applyFont="1" applyFill="1" applyAlignment="1">
      <alignment horizontal="center" vertical="center" wrapText="1"/>
    </xf>
    <xf numFmtId="165" fontId="12" fillId="3" borderId="0" xfId="0" applyNumberFormat="1" applyFont="1" applyFill="1" applyAlignment="1">
      <alignment horizontal="center" vertical="center"/>
    </xf>
    <xf numFmtId="2" fontId="12" fillId="0" borderId="30" xfId="0" applyNumberFormat="1" applyFont="1" applyBorder="1" applyAlignment="1">
      <alignment horizontal="center" vertical="center"/>
    </xf>
    <xf numFmtId="0" fontId="8" fillId="9" borderId="50" xfId="0" applyFont="1" applyFill="1" applyBorder="1" applyAlignment="1">
      <alignment horizontal="center" vertical="center"/>
    </xf>
    <xf numFmtId="0" fontId="8" fillId="9" borderId="58" xfId="0" applyFont="1" applyFill="1" applyBorder="1" applyAlignment="1">
      <alignment horizontal="center" vertical="center"/>
    </xf>
    <xf numFmtId="0" fontId="1" fillId="6" borderId="54" xfId="0" applyFont="1" applyFill="1" applyBorder="1" applyAlignment="1">
      <alignment horizontal="left" wrapText="1"/>
    </xf>
    <xf numFmtId="0" fontId="1" fillId="6" borderId="65" xfId="0" applyFont="1" applyFill="1" applyBorder="1" applyAlignment="1">
      <alignment horizontal="left" wrapText="1"/>
    </xf>
    <xf numFmtId="0" fontId="0" fillId="3" borderId="21" xfId="0" applyFill="1" applyBorder="1" applyAlignment="1">
      <alignment horizontal="center"/>
    </xf>
    <xf numFmtId="1" fontId="7" fillId="0" borderId="21" xfId="0" applyNumberFormat="1" applyFont="1" applyBorder="1" applyAlignment="1">
      <alignment horizontal="center" vertical="center"/>
    </xf>
    <xf numFmtId="0" fontId="0" fillId="3" borderId="23" xfId="0" applyFill="1" applyBorder="1" applyAlignment="1">
      <alignment horizontal="center"/>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center" vertical="center" wrapText="1"/>
    </xf>
    <xf numFmtId="0" fontId="26" fillId="4" borderId="38"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3" borderId="0" xfId="0" applyFont="1" applyFill="1" applyAlignment="1">
      <alignment horizontal="left" vertical="center"/>
    </xf>
    <xf numFmtId="0" fontId="12" fillId="3" borderId="0" xfId="0" applyFont="1" applyFill="1" applyAlignment="1">
      <alignment horizontal="left" vertical="center" wrapText="1"/>
    </xf>
    <xf numFmtId="0" fontId="26" fillId="3" borderId="0" xfId="0" applyFont="1" applyFill="1" applyAlignment="1">
      <alignment vertical="center"/>
    </xf>
    <xf numFmtId="0" fontId="8" fillId="3" borderId="0" xfId="0" applyFont="1" applyFill="1" applyAlignment="1">
      <alignment vertical="center"/>
    </xf>
    <xf numFmtId="0" fontId="9" fillId="3" borderId="0" xfId="0" applyFont="1" applyFill="1" applyAlignment="1">
      <alignment vertical="center"/>
    </xf>
    <xf numFmtId="0" fontId="7" fillId="9" borderId="58" xfId="0" applyFont="1" applyFill="1" applyBorder="1" applyAlignment="1">
      <alignment horizontal="left" vertical="center" wrapText="1"/>
    </xf>
    <xf numFmtId="0" fontId="7" fillId="3" borderId="25" xfId="0" applyFont="1" applyFill="1" applyBorder="1" applyAlignment="1">
      <alignment vertical="center"/>
    </xf>
    <xf numFmtId="0" fontId="7" fillId="3" borderId="17" xfId="0" applyFont="1" applyFill="1" applyBorder="1" applyAlignment="1">
      <alignment vertical="center"/>
    </xf>
    <xf numFmtId="0" fontId="7" fillId="3" borderId="16" xfId="0" applyFont="1" applyFill="1" applyBorder="1" applyAlignment="1">
      <alignment vertical="center"/>
    </xf>
    <xf numFmtId="0" fontId="7" fillId="9" borderId="58" xfId="0" applyFont="1" applyFill="1" applyBorder="1" applyAlignment="1">
      <alignment horizontal="left" vertical="center"/>
    </xf>
    <xf numFmtId="0" fontId="7" fillId="3" borderId="31" xfId="0" applyFont="1" applyFill="1" applyBorder="1" applyAlignment="1">
      <alignment vertical="center"/>
    </xf>
    <xf numFmtId="0" fontId="28" fillId="3" borderId="0" xfId="0" applyFont="1" applyFill="1" applyAlignment="1">
      <alignment horizontal="center" vertical="center"/>
    </xf>
    <xf numFmtId="0" fontId="29" fillId="3" borderId="0" xfId="0" applyFont="1" applyFill="1" applyAlignment="1">
      <alignment vertical="center" wrapText="1"/>
    </xf>
    <xf numFmtId="0" fontId="29" fillId="3" borderId="0" xfId="0" applyFont="1" applyFill="1" applyAlignment="1">
      <alignment vertical="center"/>
    </xf>
    <xf numFmtId="0" fontId="28" fillId="3" borderId="0" xfId="0" applyFont="1" applyFill="1" applyAlignment="1">
      <alignment vertical="center" wrapText="1"/>
    </xf>
    <xf numFmtId="0" fontId="28" fillId="3" borderId="0" xfId="0" applyFont="1" applyFill="1" applyAlignment="1">
      <alignment horizontal="center" vertical="center" wrapText="1"/>
    </xf>
    <xf numFmtId="0" fontId="8" fillId="8" borderId="1" xfId="0" applyFont="1" applyFill="1" applyBorder="1" applyAlignment="1">
      <alignment horizontal="center" vertical="center"/>
    </xf>
    <xf numFmtId="11" fontId="7" fillId="3" borderId="1" xfId="0" applyNumberFormat="1" applyFont="1" applyFill="1" applyBorder="1" applyAlignment="1">
      <alignment horizontal="center" vertical="center"/>
    </xf>
    <xf numFmtId="0" fontId="0" fillId="3" borderId="0" xfId="0" applyFill="1" applyAlignment="1">
      <alignment horizontal="center"/>
    </xf>
    <xf numFmtId="0" fontId="7" fillId="3" borderId="1" xfId="0" applyFont="1" applyFill="1" applyBorder="1" applyAlignment="1">
      <alignment vertical="center"/>
    </xf>
    <xf numFmtId="0" fontId="7" fillId="0" borderId="1" xfId="0" applyFont="1" applyBorder="1" applyAlignment="1">
      <alignment horizontal="center" vertical="center"/>
    </xf>
    <xf numFmtId="0" fontId="32" fillId="10" borderId="66" xfId="1" applyFont="1" applyFill="1" applyBorder="1" applyAlignment="1">
      <alignment horizontal="center" vertical="center" wrapText="1"/>
    </xf>
    <xf numFmtId="0" fontId="32" fillId="10" borderId="67" xfId="1" applyFont="1" applyFill="1" applyBorder="1" applyAlignment="1">
      <alignment horizontal="center" vertical="center" wrapText="1"/>
    </xf>
    <xf numFmtId="0" fontId="1" fillId="6" borderId="28" xfId="0" applyFont="1" applyFill="1" applyBorder="1" applyAlignment="1">
      <alignment horizontal="center" vertical="center" wrapText="1"/>
    </xf>
    <xf numFmtId="0" fontId="0" fillId="3" borderId="22" xfId="0" applyFill="1" applyBorder="1"/>
    <xf numFmtId="1" fontId="0" fillId="3" borderId="1" xfId="0" applyNumberFormat="1" applyFill="1" applyBorder="1" applyAlignment="1">
      <alignment horizontal="center"/>
    </xf>
    <xf numFmtId="0" fontId="0" fillId="3" borderId="1" xfId="0" applyFill="1" applyBorder="1" applyAlignment="1">
      <alignment horizontal="center"/>
    </xf>
    <xf numFmtId="0" fontId="0" fillId="3" borderId="17" xfId="0" applyFill="1" applyBorder="1" applyAlignment="1">
      <alignment horizontal="center"/>
    </xf>
    <xf numFmtId="0" fontId="0" fillId="3" borderId="24" xfId="0" applyFill="1" applyBorder="1"/>
    <xf numFmtId="2" fontId="12" fillId="0" borderId="24" xfId="0" applyNumberFormat="1" applyFont="1" applyBorder="1" applyAlignment="1">
      <alignment horizontal="center" vertical="center"/>
    </xf>
    <xf numFmtId="0" fontId="0" fillId="3" borderId="7" xfId="0" applyFill="1" applyBorder="1" applyAlignment="1">
      <alignment wrapText="1"/>
    </xf>
    <xf numFmtId="0" fontId="8" fillId="8" borderId="1" xfId="0" applyFont="1" applyFill="1" applyBorder="1" applyAlignment="1">
      <alignment vertical="center" wrapText="1"/>
    </xf>
    <xf numFmtId="0" fontId="7" fillId="3" borderId="17" xfId="0" applyFont="1" applyFill="1" applyBorder="1" applyAlignment="1">
      <alignment horizontal="left" vertical="center"/>
    </xf>
    <xf numFmtId="0" fontId="0" fillId="8" borderId="1" xfId="0" applyFill="1" applyBorder="1" applyAlignment="1">
      <alignment horizontal="center" vertical="center" wrapText="1"/>
    </xf>
    <xf numFmtId="0" fontId="9" fillId="5" borderId="24" xfId="0" applyFont="1" applyFill="1" applyBorder="1" applyAlignment="1">
      <alignment horizontal="center" vertical="center" wrapText="1"/>
    </xf>
    <xf numFmtId="0" fontId="31" fillId="0" borderId="24" xfId="1" applyFont="1" applyBorder="1" applyAlignment="1">
      <alignment vertical="center" wrapText="1"/>
    </xf>
    <xf numFmtId="0" fontId="31" fillId="0" borderId="23" xfId="1" applyFont="1" applyBorder="1" applyAlignment="1">
      <alignment vertical="center" wrapText="1"/>
    </xf>
    <xf numFmtId="0" fontId="31" fillId="0" borderId="21" xfId="1" applyFont="1" applyBorder="1" applyAlignment="1">
      <alignment vertical="center" wrapText="1"/>
    </xf>
    <xf numFmtId="0" fontId="31" fillId="0" borderId="1" xfId="1" applyFont="1" applyBorder="1" applyAlignment="1">
      <alignment horizontal="center" vertical="center" wrapText="1"/>
    </xf>
    <xf numFmtId="0" fontId="31" fillId="0" borderId="22" xfId="1" applyFont="1" applyBorder="1" applyAlignment="1">
      <alignment vertical="center" wrapText="1"/>
    </xf>
    <xf numFmtId="0" fontId="0" fillId="0" borderId="68" xfId="0" applyBorder="1"/>
    <xf numFmtId="0" fontId="0" fillId="0" borderId="69" xfId="0" applyBorder="1"/>
    <xf numFmtId="2" fontId="7" fillId="0" borderId="17" xfId="0" applyNumberFormat="1" applyFont="1" applyBorder="1" applyAlignment="1">
      <alignment horizontal="center" vertical="center"/>
    </xf>
    <xf numFmtId="0" fontId="25" fillId="3" borderId="32" xfId="0" applyFont="1" applyFill="1" applyBorder="1" applyAlignment="1">
      <alignment vertical="center"/>
    </xf>
    <xf numFmtId="0" fontId="25" fillId="3" borderId="0" xfId="0" applyFont="1" applyFill="1" applyBorder="1" applyAlignment="1">
      <alignment vertical="center"/>
    </xf>
    <xf numFmtId="165" fontId="12" fillId="3" borderId="0" xfId="0" applyNumberFormat="1" applyFont="1" applyFill="1" applyBorder="1" applyAlignment="1">
      <alignment horizontal="center" vertical="center"/>
    </xf>
    <xf numFmtId="0" fontId="31" fillId="0" borderId="37" xfId="1" applyFont="1" applyBorder="1" applyAlignment="1">
      <alignment vertical="center" wrapText="1"/>
    </xf>
    <xf numFmtId="0" fontId="31" fillId="0" borderId="25" xfId="1" applyFont="1" applyBorder="1" applyAlignment="1">
      <alignment horizontal="center" vertical="center" wrapText="1"/>
    </xf>
    <xf numFmtId="0" fontId="31" fillId="0" borderId="30" xfId="1" applyFont="1" applyBorder="1" applyAlignment="1">
      <alignment vertical="center" wrapText="1"/>
    </xf>
    <xf numFmtId="0" fontId="31" fillId="0" borderId="17" xfId="1" applyFont="1" applyBorder="1" applyAlignment="1">
      <alignment horizontal="center" vertical="center" wrapText="1"/>
    </xf>
    <xf numFmtId="9" fontId="0" fillId="0" borderId="49" xfId="0" applyNumberFormat="1" applyBorder="1" applyAlignment="1">
      <alignment horizontal="center"/>
    </xf>
    <xf numFmtId="9" fontId="0" fillId="0" borderId="48" xfId="0" applyNumberFormat="1" applyBorder="1" applyAlignment="1">
      <alignment horizontal="center"/>
    </xf>
    <xf numFmtId="0" fontId="0" fillId="11" borderId="0" xfId="0" applyFill="1"/>
    <xf numFmtId="0" fontId="0" fillId="11" borderId="0" xfId="0" applyFill="1" applyBorder="1"/>
    <xf numFmtId="0" fontId="0" fillId="11" borderId="70" xfId="0" applyFill="1" applyBorder="1" applyAlignment="1">
      <alignment horizontal="center" vertical="center"/>
    </xf>
    <xf numFmtId="0" fontId="7" fillId="11" borderId="0" xfId="0" applyFont="1" applyFill="1" applyAlignment="1">
      <alignment wrapText="1"/>
    </xf>
    <xf numFmtId="0" fontId="7" fillId="11" borderId="0" xfId="0" applyFont="1" applyFill="1" applyAlignment="1">
      <alignment vertical="center" wrapText="1"/>
    </xf>
    <xf numFmtId="0" fontId="30" fillId="11" borderId="0" xfId="1" applyFill="1"/>
    <xf numFmtId="0" fontId="31" fillId="0" borderId="71" xfId="1" applyFont="1" applyBorder="1" applyAlignment="1">
      <alignment vertical="center" wrapText="1"/>
    </xf>
    <xf numFmtId="0" fontId="31" fillId="0" borderId="72" xfId="1" applyFont="1" applyBorder="1" applyAlignment="1">
      <alignment horizontal="center" vertical="center" wrapText="1"/>
    </xf>
    <xf numFmtId="0" fontId="31" fillId="0" borderId="73" xfId="1" applyFont="1" applyBorder="1" applyAlignment="1">
      <alignment vertical="center" wrapText="1"/>
    </xf>
    <xf numFmtId="3" fontId="31" fillId="0" borderId="1" xfId="1" applyNumberFormat="1" applyFont="1" applyBorder="1" applyAlignment="1">
      <alignment horizontal="center" vertical="center" wrapText="1"/>
    </xf>
    <xf numFmtId="3" fontId="31" fillId="0" borderId="17" xfId="1" applyNumberFormat="1" applyFont="1" applyBorder="1" applyAlignment="1">
      <alignment horizontal="center" vertical="center" wrapText="1"/>
    </xf>
    <xf numFmtId="2" fontId="7" fillId="0" borderId="33" xfId="0" applyNumberFormat="1" applyFont="1" applyBorder="1" applyAlignment="1">
      <alignment horizontal="center" vertical="center"/>
    </xf>
    <xf numFmtId="1" fontId="7" fillId="0" borderId="33" xfId="0" applyNumberFormat="1" applyFont="1" applyBorder="1" applyAlignment="1">
      <alignment horizontal="center" vertical="center"/>
    </xf>
    <xf numFmtId="0" fontId="7" fillId="0" borderId="33" xfId="0" applyFont="1" applyBorder="1" applyAlignment="1">
      <alignment horizontal="center" vertical="center" wrapText="1"/>
    </xf>
    <xf numFmtId="0" fontId="1" fillId="6" borderId="50" xfId="0" applyFont="1" applyFill="1" applyBorder="1" applyAlignment="1">
      <alignment horizontal="center" vertical="center" wrapText="1"/>
    </xf>
    <xf numFmtId="0" fontId="1" fillId="6" borderId="10" xfId="0" applyFont="1" applyFill="1" applyBorder="1" applyAlignment="1">
      <alignment horizontal="left" wrapText="1"/>
    </xf>
    <xf numFmtId="0" fontId="0" fillId="3" borderId="18" xfId="0" applyFill="1" applyBorder="1" applyAlignment="1">
      <alignment horizontal="center"/>
    </xf>
    <xf numFmtId="164" fontId="0" fillId="3" borderId="16" xfId="0" applyNumberFormat="1" applyFill="1" applyBorder="1" applyAlignment="1">
      <alignment horizontal="center"/>
    </xf>
    <xf numFmtId="0" fontId="0" fillId="3" borderId="20" xfId="0" applyFill="1" applyBorder="1"/>
    <xf numFmtId="2" fontId="12" fillId="0" borderId="27" xfId="0" applyNumberFormat="1" applyFont="1" applyBorder="1" applyAlignment="1">
      <alignment horizontal="center" vertical="center"/>
    </xf>
    <xf numFmtId="0" fontId="7" fillId="9" borderId="50" xfId="0" applyFont="1" applyFill="1" applyBorder="1" applyAlignment="1">
      <alignment horizontal="left" vertical="center"/>
    </xf>
    <xf numFmtId="0" fontId="7" fillId="9" borderId="53" xfId="0" applyFont="1" applyFill="1" applyBorder="1" applyAlignment="1">
      <alignment horizontal="left" vertical="center"/>
    </xf>
    <xf numFmtId="2" fontId="12" fillId="0" borderId="39" xfId="0" applyNumberFormat="1" applyFont="1" applyBorder="1" applyAlignment="1">
      <alignment horizontal="center" vertical="center"/>
    </xf>
    <xf numFmtId="2" fontId="12" fillId="0" borderId="46" xfId="0" applyNumberFormat="1" applyFont="1" applyBorder="1" applyAlignment="1">
      <alignment horizontal="center" vertical="center"/>
    </xf>
    <xf numFmtId="2" fontId="12" fillId="0" borderId="29" xfId="0" applyNumberFormat="1" applyFont="1" applyBorder="1" applyAlignment="1">
      <alignment horizontal="center" vertical="center"/>
    </xf>
    <xf numFmtId="0" fontId="7" fillId="3" borderId="19" xfId="0" applyFont="1" applyFill="1" applyBorder="1" applyAlignment="1">
      <alignment horizontal="center" vertical="center"/>
    </xf>
    <xf numFmtId="0" fontId="7" fillId="3" borderId="31" xfId="0" applyFont="1" applyFill="1" applyBorder="1" applyAlignment="1">
      <alignment horizontal="center" vertical="center"/>
    </xf>
    <xf numFmtId="0" fontId="0" fillId="3" borderId="14" xfId="0" applyFill="1" applyBorder="1" applyAlignment="1">
      <alignment horizontal="center" vertical="center"/>
    </xf>
    <xf numFmtId="167" fontId="12" fillId="0" borderId="16" xfId="0" applyNumberFormat="1" applyFont="1" applyBorder="1" applyAlignment="1">
      <alignment horizontal="center" vertical="center"/>
    </xf>
    <xf numFmtId="167" fontId="12" fillId="0" borderId="20" xfId="0" applyNumberFormat="1" applyFont="1" applyBorder="1" applyAlignment="1">
      <alignment horizontal="center" vertical="center"/>
    </xf>
    <xf numFmtId="167" fontId="12" fillId="0" borderId="17" xfId="0" applyNumberFormat="1" applyFont="1" applyBorder="1" applyAlignment="1">
      <alignment horizontal="center" vertical="center"/>
    </xf>
    <xf numFmtId="167" fontId="12" fillId="0" borderId="24" xfId="0" applyNumberFormat="1" applyFont="1" applyBorder="1" applyAlignment="1">
      <alignment horizontal="center" vertical="center"/>
    </xf>
    <xf numFmtId="1" fontId="12" fillId="3" borderId="42" xfId="0" applyNumberFormat="1" applyFont="1" applyFill="1" applyBorder="1" applyAlignment="1">
      <alignment horizontal="center" vertical="center" wrapText="1"/>
    </xf>
    <xf numFmtId="1" fontId="12" fillId="3" borderId="81" xfId="0" applyNumberFormat="1" applyFont="1" applyFill="1" applyBorder="1" applyAlignment="1">
      <alignment horizontal="center" vertical="center" wrapText="1"/>
    </xf>
    <xf numFmtId="0" fontId="7" fillId="0" borderId="37"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35" xfId="0" applyFont="1" applyBorder="1" applyAlignment="1">
      <alignment horizontal="center" vertical="center"/>
    </xf>
    <xf numFmtId="0" fontId="7" fillId="0" borderId="34" xfId="0" applyFont="1" applyBorder="1" applyAlignment="1">
      <alignment horizontal="center" vertical="center"/>
    </xf>
    <xf numFmtId="0" fontId="12" fillId="3" borderId="32" xfId="0" applyFont="1" applyFill="1" applyBorder="1" applyAlignment="1">
      <alignment horizontal="center" vertical="center" wrapText="1"/>
    </xf>
    <xf numFmtId="0" fontId="24" fillId="0" borderId="49" xfId="0" applyFont="1" applyFill="1" applyBorder="1" applyAlignment="1">
      <alignment vertical="center"/>
    </xf>
    <xf numFmtId="0" fontId="32" fillId="10" borderId="50" xfId="1" applyFont="1" applyFill="1" applyBorder="1" applyAlignment="1">
      <alignment horizontal="center" vertical="center" wrapText="1"/>
    </xf>
    <xf numFmtId="0" fontId="7" fillId="0" borderId="1" xfId="0" applyFont="1" applyBorder="1" applyAlignment="1">
      <alignment vertical="center"/>
    </xf>
    <xf numFmtId="11" fontId="7" fillId="0" borderId="1" xfId="0" applyNumberFormat="1" applyFont="1" applyBorder="1" applyAlignment="1">
      <alignment horizontal="center" vertical="center"/>
    </xf>
    <xf numFmtId="1" fontId="7" fillId="0" borderId="1" xfId="0" applyNumberFormat="1" applyFont="1" applyBorder="1" applyAlignment="1">
      <alignment horizontal="center" vertical="center" wrapText="1"/>
    </xf>
    <xf numFmtId="1" fontId="7" fillId="0" borderId="55" xfId="0" applyNumberFormat="1" applyFont="1" applyBorder="1" applyAlignment="1">
      <alignment horizontal="center" vertical="center" wrapText="1"/>
    </xf>
    <xf numFmtId="0" fontId="7" fillId="0" borderId="55" xfId="0" applyFont="1" applyBorder="1" applyAlignment="1">
      <alignment vertical="center" wrapText="1"/>
    </xf>
    <xf numFmtId="0" fontId="7" fillId="0" borderId="55" xfId="0" applyFont="1" applyBorder="1" applyAlignment="1">
      <alignment horizontal="center" vertical="center"/>
    </xf>
    <xf numFmtId="3" fontId="7" fillId="0" borderId="1" xfId="0" applyNumberFormat="1" applyFont="1" applyBorder="1" applyAlignment="1">
      <alignment horizontal="center" vertical="center"/>
    </xf>
    <xf numFmtId="0" fontId="7" fillId="0" borderId="33" xfId="0" applyFont="1" applyBorder="1" applyAlignment="1">
      <alignment vertical="center"/>
    </xf>
    <xf numFmtId="0" fontId="7" fillId="0" borderId="33" xfId="0" applyFont="1" applyBorder="1" applyAlignment="1">
      <alignment horizontal="center" vertical="center"/>
    </xf>
    <xf numFmtId="1" fontId="7" fillId="0" borderId="2" xfId="0" applyNumberFormat="1" applyFont="1" applyBorder="1" applyAlignment="1">
      <alignment horizontal="center" vertical="center" wrapText="1"/>
    </xf>
    <xf numFmtId="0" fontId="7" fillId="0" borderId="2" xfId="0" applyFont="1" applyBorder="1" applyAlignment="1">
      <alignment vertical="center" wrapText="1"/>
    </xf>
    <xf numFmtId="0" fontId="7" fillId="0" borderId="23" xfId="0" applyFont="1" applyBorder="1" applyAlignment="1">
      <alignment horizontal="center" vertical="center"/>
    </xf>
    <xf numFmtId="11" fontId="7" fillId="0" borderId="17" xfId="0" applyNumberFormat="1" applyFont="1" applyBorder="1" applyAlignment="1">
      <alignment horizontal="center" vertical="center"/>
    </xf>
    <xf numFmtId="0" fontId="7" fillId="0" borderId="31" xfId="0" applyFont="1" applyBorder="1" applyAlignment="1">
      <alignment vertical="center" wrapText="1"/>
    </xf>
    <xf numFmtId="0" fontId="7" fillId="0" borderId="24" xfId="0" applyFont="1" applyBorder="1" applyAlignment="1">
      <alignment horizontal="center" vertical="center"/>
    </xf>
    <xf numFmtId="0" fontId="0" fillId="3" borderId="11" xfId="0" applyFill="1" applyBorder="1" applyAlignment="1">
      <alignment horizontal="left"/>
    </xf>
    <xf numFmtId="0" fontId="0" fillId="3" borderId="12" xfId="0" applyFill="1" applyBorder="1" applyAlignment="1">
      <alignment vertical="center"/>
    </xf>
    <xf numFmtId="0" fontId="0" fillId="3" borderId="12" xfId="0" applyFill="1" applyBorder="1" applyAlignment="1">
      <alignment horizontal="left" vertical="center"/>
    </xf>
    <xf numFmtId="0" fontId="0" fillId="3" borderId="12" xfId="0" applyFill="1" applyBorder="1" applyAlignment="1">
      <alignment horizontal="center" vertical="center"/>
    </xf>
    <xf numFmtId="2" fontId="0" fillId="3" borderId="12" xfId="0" applyNumberFormat="1" applyFill="1" applyBorder="1" applyAlignment="1">
      <alignment horizontal="center" vertical="center"/>
    </xf>
    <xf numFmtId="0" fontId="0" fillId="3" borderId="12" xfId="0" quotePrefix="1" applyFill="1" applyBorder="1" applyAlignment="1">
      <alignment horizontal="center" vertical="center"/>
    </xf>
    <xf numFmtId="0" fontId="0" fillId="3" borderId="74" xfId="0" quotePrefix="1" applyFill="1" applyBorder="1" applyAlignment="1">
      <alignment horizontal="center" vertical="center"/>
    </xf>
    <xf numFmtId="0" fontId="0" fillId="3" borderId="5" xfId="0" applyFill="1" applyBorder="1" applyAlignment="1">
      <alignment horizontal="center"/>
    </xf>
    <xf numFmtId="0" fontId="0" fillId="3" borderId="0" xfId="0" applyFill="1" applyAlignment="1">
      <alignment horizontal="center" vertical="center" wrapText="1"/>
    </xf>
    <xf numFmtId="0" fontId="0" fillId="3" borderId="0" xfId="0" quotePrefix="1" applyFill="1" applyAlignment="1">
      <alignment horizontal="center" vertical="center"/>
    </xf>
    <xf numFmtId="0" fontId="0" fillId="3" borderId="7" xfId="0" quotePrefix="1" applyFill="1" applyBorder="1" applyAlignment="1">
      <alignment horizontal="center" vertical="center"/>
    </xf>
    <xf numFmtId="0" fontId="0" fillId="3" borderId="5" xfId="0" applyFill="1" applyBorder="1" applyAlignment="1">
      <alignment horizontal="center" vertical="center"/>
    </xf>
    <xf numFmtId="0" fontId="0" fillId="3" borderId="14" xfId="0" applyFill="1" applyBorder="1" applyAlignment="1">
      <alignment horizontal="left" vertical="center" wrapText="1"/>
    </xf>
    <xf numFmtId="0" fontId="0" fillId="3" borderId="14" xfId="0" applyFill="1" applyBorder="1" applyAlignment="1">
      <alignment horizontal="left" vertical="center"/>
    </xf>
    <xf numFmtId="0" fontId="0" fillId="3" borderId="14" xfId="0" quotePrefix="1" applyFill="1" applyBorder="1" applyAlignment="1">
      <alignment horizontal="center" vertical="center"/>
    </xf>
    <xf numFmtId="0" fontId="0" fillId="3" borderId="15" xfId="0" quotePrefix="1" applyFill="1" applyBorder="1" applyAlignment="1">
      <alignment horizontal="center" vertical="center"/>
    </xf>
    <xf numFmtId="0" fontId="0" fillId="3" borderId="11" xfId="0" applyFill="1" applyBorder="1" applyAlignment="1">
      <alignment horizontal="left" vertical="center" wrapText="1"/>
    </xf>
    <xf numFmtId="0" fontId="0" fillId="3" borderId="12" xfId="0" applyFill="1" applyBorder="1" applyAlignment="1">
      <alignment horizontal="center" vertical="center" wrapText="1"/>
    </xf>
    <xf numFmtId="0" fontId="0" fillId="3" borderId="5" xfId="0" applyFill="1" applyBorder="1" applyAlignment="1">
      <alignment vertical="top" wrapText="1"/>
    </xf>
    <xf numFmtId="0" fontId="0" fillId="3" borderId="75" xfId="0" applyFill="1" applyBorder="1"/>
    <xf numFmtId="0" fontId="0" fillId="3" borderId="76" xfId="0" applyFill="1" applyBorder="1"/>
    <xf numFmtId="0" fontId="0" fillId="3" borderId="76" xfId="0" quotePrefix="1" applyFill="1" applyBorder="1" applyAlignment="1">
      <alignment horizontal="center"/>
    </xf>
    <xf numFmtId="165" fontId="0" fillId="3" borderId="1" xfId="0" applyNumberFormat="1" applyFill="1" applyBorder="1"/>
    <xf numFmtId="0" fontId="0" fillId="3" borderId="1" xfId="0" applyFill="1" applyBorder="1"/>
    <xf numFmtId="0" fontId="0" fillId="3" borderId="0" xfId="0" applyFill="1" applyAlignment="1">
      <alignment horizontal="left"/>
    </xf>
    <xf numFmtId="0" fontId="7" fillId="0" borderId="37" xfId="0" applyFont="1" applyFill="1" applyBorder="1" applyAlignment="1">
      <alignment horizontal="center" vertical="center"/>
    </xf>
    <xf numFmtId="165" fontId="12" fillId="0" borderId="16" xfId="0" applyNumberFormat="1" applyFont="1" applyFill="1" applyBorder="1" applyAlignment="1">
      <alignment horizontal="center" vertical="center"/>
    </xf>
    <xf numFmtId="165" fontId="12" fillId="0" borderId="25" xfId="0" applyNumberFormat="1" applyFont="1" applyFill="1" applyBorder="1" applyAlignment="1">
      <alignment horizontal="center" vertical="center"/>
    </xf>
    <xf numFmtId="0" fontId="7" fillId="0" borderId="23" xfId="0" applyFont="1" applyFill="1" applyBorder="1" applyAlignment="1">
      <alignment horizontal="center" vertical="center"/>
    </xf>
    <xf numFmtId="165" fontId="12" fillId="0" borderId="20" xfId="0" applyNumberFormat="1" applyFont="1" applyFill="1" applyBorder="1" applyAlignment="1">
      <alignment horizontal="center" vertical="center"/>
    </xf>
    <xf numFmtId="165" fontId="12" fillId="0" borderId="39" xfId="0" applyNumberFormat="1" applyFont="1" applyFill="1" applyBorder="1" applyAlignment="1">
      <alignment horizontal="center" vertical="center"/>
    </xf>
    <xf numFmtId="165" fontId="12" fillId="0" borderId="46" xfId="0" applyNumberFormat="1" applyFont="1" applyFill="1" applyBorder="1" applyAlignment="1">
      <alignment horizontal="center" vertical="center"/>
    </xf>
    <xf numFmtId="165" fontId="12" fillId="0" borderId="30" xfId="0" applyNumberFormat="1" applyFont="1" applyFill="1" applyBorder="1" applyAlignment="1">
      <alignment horizontal="center" vertical="center"/>
    </xf>
    <xf numFmtId="0" fontId="7" fillId="3" borderId="0" xfId="0" applyFont="1" applyFill="1" applyBorder="1" applyAlignment="1">
      <alignment vertical="center"/>
    </xf>
    <xf numFmtId="0" fontId="7" fillId="3" borderId="0"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0" xfId="0" applyFont="1" applyFill="1" applyBorder="1" applyAlignment="1">
      <alignment vertical="center" wrapText="1"/>
    </xf>
    <xf numFmtId="1" fontId="12" fillId="3" borderId="16" xfId="0" applyNumberFormat="1" applyFont="1" applyFill="1" applyBorder="1" applyAlignment="1">
      <alignment horizontal="center" vertical="center" wrapText="1"/>
    </xf>
    <xf numFmtId="0" fontId="12" fillId="3" borderId="0" xfId="0" applyFont="1" applyFill="1" applyAlignment="1">
      <alignment horizontal="center" vertical="center" wrapText="1"/>
    </xf>
    <xf numFmtId="0" fontId="1" fillId="12" borderId="50" xfId="0" applyFont="1" applyFill="1" applyBorder="1" applyAlignment="1">
      <alignment vertical="center" wrapText="1"/>
    </xf>
    <xf numFmtId="0" fontId="36" fillId="13" borderId="36" xfId="0" applyFont="1" applyFill="1" applyBorder="1" applyAlignment="1">
      <alignment vertical="center" wrapText="1"/>
    </xf>
    <xf numFmtId="0" fontId="36" fillId="13" borderId="98" xfId="0" applyFont="1" applyFill="1" applyBorder="1" applyAlignment="1">
      <alignment vertical="center" wrapText="1"/>
    </xf>
    <xf numFmtId="0" fontId="36" fillId="13" borderId="26" xfId="0" applyFont="1" applyFill="1" applyBorder="1" applyAlignment="1">
      <alignment vertical="center" wrapText="1"/>
    </xf>
    <xf numFmtId="0" fontId="1" fillId="12" borderId="58" xfId="0" applyFont="1" applyFill="1" applyBorder="1" applyAlignment="1">
      <alignment vertical="center" wrapText="1"/>
    </xf>
    <xf numFmtId="0" fontId="36" fillId="13" borderId="45" xfId="0" applyFont="1" applyFill="1" applyBorder="1" applyAlignment="1">
      <alignment vertical="center" wrapText="1"/>
    </xf>
    <xf numFmtId="0" fontId="36" fillId="13" borderId="7" xfId="0" applyFont="1" applyFill="1" applyBorder="1" applyAlignment="1">
      <alignment vertical="center" wrapText="1"/>
    </xf>
    <xf numFmtId="0" fontId="36" fillId="13" borderId="27" xfId="0" applyFont="1" applyFill="1" applyBorder="1" applyAlignment="1">
      <alignment vertical="center" wrapText="1"/>
    </xf>
    <xf numFmtId="0" fontId="1" fillId="12" borderId="58" xfId="0" applyFont="1" applyFill="1" applyBorder="1" applyAlignment="1">
      <alignment horizontal="center" vertical="center" wrapText="1"/>
    </xf>
    <xf numFmtId="0" fontId="36" fillId="13" borderId="45" xfId="0" applyFont="1" applyFill="1" applyBorder="1" applyAlignment="1">
      <alignment horizontal="center" vertical="center" wrapText="1"/>
    </xf>
    <xf numFmtId="0" fontId="36" fillId="13" borderId="7" xfId="0" applyFont="1" applyFill="1" applyBorder="1" applyAlignment="1">
      <alignment horizontal="center" vertical="center" wrapText="1"/>
    </xf>
    <xf numFmtId="0" fontId="3" fillId="16" borderId="17" xfId="0" applyFont="1" applyFill="1" applyBorder="1" applyAlignment="1">
      <alignment horizontal="center" vertical="center" wrapText="1"/>
    </xf>
    <xf numFmtId="0" fontId="3" fillId="16" borderId="24" xfId="0" applyFont="1" applyFill="1" applyBorder="1" applyAlignment="1">
      <alignment horizontal="center" vertical="center" wrapText="1"/>
    </xf>
    <xf numFmtId="0" fontId="0" fillId="14" borderId="18" xfId="0" applyFill="1" applyBorder="1" applyAlignment="1">
      <alignment vertical="center" wrapText="1"/>
    </xf>
    <xf numFmtId="0" fontId="0" fillId="3" borderId="16" xfId="0" applyFill="1" applyBorder="1" applyAlignment="1">
      <alignment vertical="center" wrapText="1"/>
    </xf>
    <xf numFmtId="1" fontId="0" fillId="3" borderId="16" xfId="0" applyNumberFormat="1" applyFill="1" applyBorder="1" applyAlignment="1">
      <alignment horizontal="center" vertical="center" wrapText="1"/>
    </xf>
    <xf numFmtId="2" fontId="0" fillId="3" borderId="16" xfId="0" applyNumberFormat="1" applyFill="1" applyBorder="1" applyAlignment="1">
      <alignment horizontal="center" vertical="center" wrapText="1"/>
    </xf>
    <xf numFmtId="0" fontId="0" fillId="3" borderId="16" xfId="0" applyFill="1" applyBorder="1" applyAlignment="1">
      <alignment horizontal="center" vertical="center" wrapText="1"/>
    </xf>
    <xf numFmtId="4" fontId="0" fillId="16" borderId="16" xfId="0" applyNumberFormat="1" applyFill="1" applyBorder="1" applyAlignment="1">
      <alignment horizontal="center" vertical="center" wrapText="1"/>
    </xf>
    <xf numFmtId="4" fontId="2" fillId="16" borderId="16" xfId="0" applyNumberFormat="1" applyFont="1" applyFill="1" applyBorder="1" applyAlignment="1">
      <alignment horizontal="center" vertical="center" wrapText="1"/>
    </xf>
    <xf numFmtId="4" fontId="2" fillId="16" borderId="20" xfId="0" applyNumberFormat="1" applyFont="1" applyFill="1" applyBorder="1" applyAlignment="1">
      <alignment horizontal="center" vertical="center" wrapText="1"/>
    </xf>
    <xf numFmtId="0" fontId="0" fillId="14" borderId="21" xfId="0" applyFill="1" applyBorder="1" applyAlignment="1">
      <alignment vertical="center" wrapText="1"/>
    </xf>
    <xf numFmtId="0" fontId="0" fillId="3" borderId="1" xfId="0" applyFill="1" applyBorder="1" applyAlignment="1">
      <alignment vertical="center" wrapText="1"/>
    </xf>
    <xf numFmtId="2" fontId="0" fillId="3" borderId="1" xfId="0" applyNumberFormat="1" applyFill="1" applyBorder="1" applyAlignment="1">
      <alignment horizontal="center" vertical="center" wrapText="1"/>
    </xf>
    <xf numFmtId="3"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4" fontId="0" fillId="16" borderId="1" xfId="0" applyNumberFormat="1" applyFill="1" applyBorder="1" applyAlignment="1">
      <alignment horizontal="center" vertical="center" wrapText="1"/>
    </xf>
    <xf numFmtId="4" fontId="2" fillId="16" borderId="25" xfId="0" applyNumberFormat="1" applyFont="1" applyFill="1" applyBorder="1" applyAlignment="1">
      <alignment horizontal="center" vertical="center" wrapText="1"/>
    </xf>
    <xf numFmtId="4" fontId="2" fillId="16" borderId="22" xfId="0" applyNumberFormat="1" applyFont="1" applyFill="1" applyBorder="1" applyAlignment="1">
      <alignment horizontal="center" vertical="center" wrapText="1"/>
    </xf>
    <xf numFmtId="4" fontId="2" fillId="16" borderId="1" xfId="0" applyNumberFormat="1" applyFont="1" applyFill="1" applyBorder="1" applyAlignment="1">
      <alignment horizontal="center" vertical="center" wrapText="1"/>
    </xf>
    <xf numFmtId="0" fontId="0" fillId="14" borderId="23" xfId="0" applyFill="1" applyBorder="1" applyAlignment="1">
      <alignment vertical="center" wrapText="1"/>
    </xf>
    <xf numFmtId="0" fontId="0" fillId="3" borderId="17" xfId="0" applyFill="1" applyBorder="1" applyAlignment="1">
      <alignment vertical="center" wrapText="1"/>
    </xf>
    <xf numFmtId="2" fontId="0" fillId="3" borderId="17" xfId="0" applyNumberFormat="1" applyFill="1" applyBorder="1" applyAlignment="1">
      <alignment horizontal="center" vertical="center" wrapText="1"/>
    </xf>
    <xf numFmtId="3" fontId="0" fillId="3" borderId="17" xfId="0" applyNumberFormat="1" applyFill="1" applyBorder="1" applyAlignment="1">
      <alignment horizontal="center" vertical="center" wrapText="1"/>
    </xf>
    <xf numFmtId="0" fontId="0" fillId="3" borderId="17" xfId="0" applyFill="1" applyBorder="1" applyAlignment="1">
      <alignment horizontal="center" vertical="center" wrapText="1"/>
    </xf>
    <xf numFmtId="4" fontId="0" fillId="16" borderId="17" xfId="0" applyNumberFormat="1" applyFill="1" applyBorder="1" applyAlignment="1">
      <alignment horizontal="center" vertical="center" wrapText="1"/>
    </xf>
    <xf numFmtId="4" fontId="2" fillId="16" borderId="17" xfId="0" applyNumberFormat="1" applyFont="1" applyFill="1" applyBorder="1" applyAlignment="1">
      <alignment horizontal="center" vertical="center" wrapText="1"/>
    </xf>
    <xf numFmtId="4" fontId="2" fillId="16" borderId="24" xfId="0" applyNumberFormat="1" applyFont="1" applyFill="1" applyBorder="1" applyAlignment="1">
      <alignment horizontal="center" vertical="center" wrapText="1"/>
    </xf>
    <xf numFmtId="0" fontId="0" fillId="17" borderId="0" xfId="0" applyFill="1" applyAlignment="1">
      <alignment wrapText="1"/>
    </xf>
    <xf numFmtId="0" fontId="0" fillId="17" borderId="40" xfId="0" applyFill="1" applyBorder="1" applyAlignment="1">
      <alignment wrapText="1"/>
    </xf>
    <xf numFmtId="0" fontId="0" fillId="3" borderId="16" xfId="0" quotePrefix="1" applyFill="1" applyBorder="1" applyAlignment="1">
      <alignment vertical="center" wrapText="1"/>
    </xf>
    <xf numFmtId="0" fontId="0" fillId="3" borderId="1" xfId="0" applyFont="1" applyFill="1" applyBorder="1" applyAlignment="1">
      <alignment vertical="center" wrapText="1"/>
    </xf>
    <xf numFmtId="0" fontId="0" fillId="0" borderId="1" xfId="0" applyFont="1" applyBorder="1" applyAlignment="1">
      <alignment wrapText="1"/>
    </xf>
    <xf numFmtId="0" fontId="0" fillId="0" borderId="1" xfId="0" applyBorder="1" applyAlignment="1">
      <alignment wrapText="1"/>
    </xf>
    <xf numFmtId="0" fontId="0" fillId="0" borderId="17" xfId="0" applyBorder="1" applyAlignment="1">
      <alignment wrapText="1"/>
    </xf>
    <xf numFmtId="0" fontId="23" fillId="4" borderId="20" xfId="0" applyFont="1" applyFill="1" applyBorder="1" applyAlignment="1">
      <alignment horizontal="center" vertical="center" wrapText="1"/>
    </xf>
    <xf numFmtId="0" fontId="0" fillId="0" borderId="101" xfId="0" applyBorder="1"/>
    <xf numFmtId="0" fontId="41" fillId="3" borderId="102" xfId="0" applyFont="1" applyFill="1" applyBorder="1" applyAlignment="1">
      <alignment horizontal="left" vertical="center" wrapText="1"/>
    </xf>
    <xf numFmtId="0" fontId="0" fillId="0" borderId="0" xfId="0" applyFill="1" applyAlignment="1">
      <alignment vertical="center"/>
    </xf>
    <xf numFmtId="3" fontId="12" fillId="3" borderId="16" xfId="0" applyNumberFormat="1" applyFont="1" applyFill="1" applyBorder="1" applyAlignment="1">
      <alignment horizontal="center" vertical="center" wrapText="1"/>
    </xf>
    <xf numFmtId="3" fontId="12" fillId="3" borderId="1" xfId="0" applyNumberFormat="1" applyFont="1" applyFill="1" applyBorder="1" applyAlignment="1">
      <alignment horizontal="center" vertical="center" wrapText="1"/>
    </xf>
    <xf numFmtId="3" fontId="12" fillId="3" borderId="22" xfId="0" applyNumberFormat="1" applyFont="1" applyFill="1" applyBorder="1" applyAlignment="1">
      <alignment horizontal="center" vertical="center" wrapText="1"/>
    </xf>
    <xf numFmtId="3" fontId="12" fillId="3" borderId="17" xfId="0" applyNumberFormat="1" applyFont="1" applyFill="1" applyBorder="1" applyAlignment="1">
      <alignment horizontal="center" vertical="center" wrapText="1"/>
    </xf>
    <xf numFmtId="3" fontId="12" fillId="3" borderId="24" xfId="0" applyNumberFormat="1" applyFont="1" applyFill="1" applyBorder="1" applyAlignment="1">
      <alignment horizontal="center" vertical="center" wrapText="1"/>
    </xf>
    <xf numFmtId="168" fontId="9" fillId="5" borderId="31" xfId="0" applyNumberFormat="1" applyFont="1" applyFill="1" applyBorder="1" applyAlignment="1">
      <alignment horizontal="center" vertical="center" wrapText="1"/>
    </xf>
    <xf numFmtId="0" fontId="9" fillId="3" borderId="32" xfId="0" applyFont="1" applyFill="1" applyBorder="1" applyAlignment="1">
      <alignment vertical="center"/>
    </xf>
    <xf numFmtId="168" fontId="9" fillId="5" borderId="33" xfId="0" applyNumberFormat="1" applyFont="1" applyFill="1" applyBorder="1" applyAlignment="1">
      <alignment horizontal="center" vertical="center" wrapText="1"/>
    </xf>
    <xf numFmtId="0" fontId="9" fillId="5" borderId="34" xfId="0" applyFont="1" applyFill="1" applyBorder="1" applyAlignment="1">
      <alignment horizontal="center" vertical="center" wrapText="1"/>
    </xf>
    <xf numFmtId="0" fontId="3" fillId="3" borderId="0" xfId="0" applyFont="1" applyFill="1" applyAlignment="1">
      <alignment vertical="center" wrapText="1"/>
    </xf>
    <xf numFmtId="0" fontId="9" fillId="5" borderId="36"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9" fillId="5" borderId="26" xfId="0" applyFont="1" applyFill="1" applyBorder="1" applyAlignment="1">
      <alignment vertical="center"/>
    </xf>
    <xf numFmtId="0" fontId="8" fillId="5" borderId="81" xfId="0" applyFont="1" applyFill="1" applyBorder="1" applyAlignment="1">
      <alignment horizontal="center" vertical="center"/>
    </xf>
    <xf numFmtId="168" fontId="9" fillId="5" borderId="55" xfId="0" applyNumberFormat="1" applyFont="1" applyFill="1" applyBorder="1" applyAlignment="1">
      <alignment horizontal="center" vertical="center" wrapText="1"/>
    </xf>
    <xf numFmtId="0" fontId="9" fillId="5" borderId="22" xfId="0" applyFont="1" applyFill="1" applyBorder="1" applyAlignment="1">
      <alignment horizontal="center" vertical="center" wrapText="1"/>
    </xf>
    <xf numFmtId="168" fontId="0" fillId="5" borderId="1" xfId="0" applyNumberFormat="1" applyFill="1" applyBorder="1" applyAlignment="1">
      <alignment vertical="center"/>
    </xf>
    <xf numFmtId="0" fontId="21" fillId="3" borderId="0" xfId="0" applyFont="1" applyFill="1" applyBorder="1" applyAlignment="1">
      <alignment horizontal="center" vertical="center" wrapText="1"/>
    </xf>
    <xf numFmtId="0" fontId="21" fillId="3" borderId="0" xfId="0" applyFont="1" applyFill="1" applyBorder="1" applyAlignment="1">
      <alignment vertical="center" wrapText="1"/>
    </xf>
    <xf numFmtId="1" fontId="21" fillId="3" borderId="0" xfId="2" applyNumberFormat="1" applyFont="1" applyFill="1" applyBorder="1" applyAlignment="1">
      <alignment horizontal="center" vertical="center" wrapText="1"/>
    </xf>
    <xf numFmtId="0" fontId="0" fillId="3" borderId="25" xfId="0" applyFill="1" applyBorder="1" applyAlignment="1">
      <alignment vertical="center" wrapText="1"/>
    </xf>
    <xf numFmtId="3" fontId="12" fillId="3" borderId="26" xfId="0" applyNumberFormat="1" applyFont="1" applyFill="1" applyBorder="1" applyAlignment="1">
      <alignment horizontal="center" vertical="center" wrapText="1"/>
    </xf>
    <xf numFmtId="0" fontId="7" fillId="3" borderId="33" xfId="0" applyFont="1" applyFill="1" applyBorder="1" applyAlignment="1">
      <alignment vertical="center"/>
    </xf>
    <xf numFmtId="2" fontId="12" fillId="0" borderId="33" xfId="0" applyNumberFormat="1" applyFont="1" applyBorder="1" applyAlignment="1">
      <alignment horizontal="center" vertical="center"/>
    </xf>
    <xf numFmtId="2" fontId="12" fillId="0" borderId="34" xfId="0" applyNumberFormat="1" applyFont="1" applyBorder="1" applyAlignment="1">
      <alignment horizontal="center" vertical="center"/>
    </xf>
    <xf numFmtId="0" fontId="8" fillId="8" borderId="55" xfId="0" applyFont="1" applyFill="1" applyBorder="1" applyAlignment="1">
      <alignment vertical="center" wrapText="1"/>
    </xf>
    <xf numFmtId="0" fontId="41" fillId="5" borderId="1" xfId="0" applyFont="1" applyFill="1" applyBorder="1" applyAlignment="1">
      <alignment horizontal="left" vertical="center" wrapText="1"/>
    </xf>
    <xf numFmtId="2" fontId="7" fillId="3" borderId="1" xfId="0" applyNumberFormat="1" applyFont="1" applyFill="1" applyBorder="1" applyAlignment="1">
      <alignment horizontal="center" vertical="center"/>
    </xf>
    <xf numFmtId="2" fontId="7" fillId="3" borderId="0" xfId="0" applyNumberFormat="1" applyFont="1" applyFill="1" applyAlignment="1">
      <alignment horizontal="center" vertical="center"/>
    </xf>
    <xf numFmtId="0" fontId="0" fillId="3" borderId="8" xfId="0" applyFill="1" applyBorder="1" applyAlignment="1"/>
    <xf numFmtId="2" fontId="16" fillId="3" borderId="12" xfId="0" applyNumberFormat="1" applyFont="1" applyFill="1" applyBorder="1" applyAlignment="1">
      <alignment horizontal="center" vertical="center"/>
    </xf>
    <xf numFmtId="2" fontId="16" fillId="3" borderId="0" xfId="0" applyNumberFormat="1" applyFont="1" applyFill="1" applyAlignment="1">
      <alignment horizontal="center" vertical="center"/>
    </xf>
    <xf numFmtId="2" fontId="16" fillId="3" borderId="14" xfId="0" applyNumberFormat="1" applyFont="1" applyFill="1" applyBorder="1" applyAlignment="1">
      <alignment horizontal="center" vertical="center"/>
    </xf>
    <xf numFmtId="2" fontId="16" fillId="3" borderId="0" xfId="0" quotePrefix="1" applyNumberFormat="1" applyFont="1" applyFill="1" applyAlignment="1">
      <alignment horizontal="center" vertical="center"/>
    </xf>
    <xf numFmtId="0" fontId="16" fillId="3" borderId="76" xfId="0" quotePrefix="1" applyFont="1" applyFill="1" applyBorder="1" applyAlignment="1">
      <alignment horizontal="center"/>
    </xf>
    <xf numFmtId="1" fontId="0" fillId="3" borderId="19" xfId="0" quotePrefix="1" applyNumberFormat="1" applyFill="1" applyBorder="1" applyAlignment="1">
      <alignment horizontal="center" vertical="center" wrapText="1"/>
    </xf>
    <xf numFmtId="1" fontId="0" fillId="3" borderId="55" xfId="0" applyNumberFormat="1" applyFill="1" applyBorder="1" applyAlignment="1">
      <alignment horizontal="center" vertical="center" wrapText="1"/>
    </xf>
    <xf numFmtId="1" fontId="0" fillId="3" borderId="31" xfId="0" applyNumberFormat="1" applyFill="1" applyBorder="1" applyAlignment="1">
      <alignment horizontal="center" vertical="center" wrapText="1"/>
    </xf>
    <xf numFmtId="1" fontId="0" fillId="3" borderId="60" xfId="0" applyNumberFormat="1" applyFill="1" applyBorder="1" applyAlignment="1">
      <alignment horizontal="center" vertical="center" wrapText="1"/>
    </xf>
    <xf numFmtId="1" fontId="0" fillId="3" borderId="82" xfId="0" applyNumberFormat="1" applyFill="1" applyBorder="1" applyAlignment="1">
      <alignment horizontal="center" vertical="center" wrapText="1"/>
    </xf>
    <xf numFmtId="1" fontId="0" fillId="3" borderId="103" xfId="0" applyNumberFormat="1" applyFill="1" applyBorder="1" applyAlignment="1">
      <alignment horizontal="center" vertical="center" wrapText="1"/>
    </xf>
    <xf numFmtId="1" fontId="12" fillId="3" borderId="25" xfId="0" applyNumberFormat="1" applyFont="1" applyFill="1" applyBorder="1" applyAlignment="1">
      <alignment horizontal="center" vertical="center" wrapText="1"/>
    </xf>
    <xf numFmtId="1" fontId="12" fillId="3" borderId="17" xfId="0" applyNumberFormat="1" applyFont="1" applyFill="1" applyBorder="1" applyAlignment="1">
      <alignment horizontal="center" vertical="center" wrapText="1"/>
    </xf>
    <xf numFmtId="0" fontId="0" fillId="3" borderId="0" xfId="0" quotePrefix="1" applyFill="1" applyBorder="1" applyAlignment="1">
      <alignment horizontal="center" vertical="center"/>
    </xf>
    <xf numFmtId="11" fontId="0" fillId="3" borderId="76" xfId="0" applyNumberFormat="1" applyFill="1" applyBorder="1" applyAlignment="1">
      <alignment horizontal="center"/>
    </xf>
    <xf numFmtId="9" fontId="21" fillId="3" borderId="0" xfId="2" applyFont="1" applyFill="1" applyBorder="1" applyAlignment="1">
      <alignment horizontal="center" vertical="center"/>
    </xf>
    <xf numFmtId="0" fontId="3" fillId="3" borderId="0" xfId="0" applyFont="1" applyFill="1" applyBorder="1" applyAlignment="1">
      <alignment vertical="center" wrapText="1"/>
    </xf>
    <xf numFmtId="2" fontId="12" fillId="3" borderId="0" xfId="0" applyNumberFormat="1" applyFont="1" applyFill="1" applyBorder="1" applyAlignment="1">
      <alignment horizontal="center" vertical="center"/>
    </xf>
    <xf numFmtId="167" fontId="12" fillId="3" borderId="0" xfId="0" applyNumberFormat="1" applyFont="1" applyFill="1" applyBorder="1" applyAlignment="1">
      <alignment horizontal="center" vertical="center"/>
    </xf>
    <xf numFmtId="0" fontId="2" fillId="3" borderId="0" xfId="0" applyFont="1" applyFill="1" applyBorder="1" applyAlignment="1">
      <alignment vertical="center"/>
    </xf>
    <xf numFmtId="0" fontId="11" fillId="3" borderId="0" xfId="0" applyFont="1" applyFill="1" applyBorder="1" applyAlignment="1">
      <alignment horizontal="left"/>
    </xf>
    <xf numFmtId="0" fontId="4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2" fontId="12" fillId="0" borderId="26" xfId="0" applyNumberFormat="1" applyFont="1" applyBorder="1" applyAlignment="1">
      <alignment horizontal="center" vertical="center"/>
    </xf>
    <xf numFmtId="0" fontId="1" fillId="3" borderId="14" xfId="0" applyFont="1" applyFill="1" applyBorder="1" applyAlignment="1">
      <alignment horizontal="center"/>
    </xf>
    <xf numFmtId="0" fontId="8" fillId="2" borderId="1" xfId="0" applyFont="1" applyFill="1" applyBorder="1" applyAlignment="1">
      <alignment horizontal="center" vertical="center"/>
    </xf>
    <xf numFmtId="164" fontId="7" fillId="0" borderId="1" xfId="0" applyNumberFormat="1" applyFont="1" applyBorder="1" applyAlignment="1">
      <alignment horizontal="center" vertical="center"/>
    </xf>
    <xf numFmtId="164" fontId="7" fillId="0" borderId="82" xfId="0" applyNumberFormat="1" applyFont="1" applyBorder="1" applyAlignment="1">
      <alignment horizontal="center" vertical="center"/>
    </xf>
    <xf numFmtId="0" fontId="23" fillId="4" borderId="10" xfId="0" applyFont="1" applyFill="1" applyBorder="1" applyAlignment="1">
      <alignment horizontal="center" vertical="center" wrapText="1"/>
    </xf>
    <xf numFmtId="0" fontId="22" fillId="4" borderId="104" xfId="0" applyFont="1" applyFill="1" applyBorder="1" applyAlignment="1">
      <alignment horizontal="center" vertical="center" wrapText="1"/>
    </xf>
    <xf numFmtId="0" fontId="23" fillId="4" borderId="105" xfId="0" applyFont="1" applyFill="1" applyBorder="1" applyAlignment="1">
      <alignment horizontal="center" vertical="center" wrapText="1"/>
    </xf>
    <xf numFmtId="3" fontId="12" fillId="3" borderId="20"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0" fontId="7" fillId="18" borderId="25" xfId="0" applyFont="1" applyFill="1" applyBorder="1" applyAlignment="1">
      <alignment horizontal="center" vertical="center"/>
    </xf>
    <xf numFmtId="0" fontId="7" fillId="18" borderId="1" xfId="0" applyFont="1" applyFill="1" applyBorder="1" applyAlignment="1">
      <alignment horizontal="center" vertical="center"/>
    </xf>
    <xf numFmtId="0" fontId="7" fillId="0" borderId="0" xfId="0" applyFont="1" applyAlignment="1"/>
    <xf numFmtId="3" fontId="12" fillId="3" borderId="0" xfId="0" applyNumberFormat="1" applyFont="1" applyFill="1" applyBorder="1" applyAlignment="1">
      <alignment horizontal="center" vertical="center" wrapText="1"/>
    </xf>
    <xf numFmtId="0" fontId="12" fillId="3" borderId="0" xfId="0" applyFont="1" applyFill="1" applyBorder="1" applyAlignment="1">
      <alignment horizontal="center" vertical="center" wrapText="1"/>
    </xf>
    <xf numFmtId="0" fontId="0" fillId="3" borderId="0" xfId="0" applyFill="1" applyBorder="1" applyAlignment="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wrapText="1"/>
    </xf>
    <xf numFmtId="2" fontId="0" fillId="3" borderId="0" xfId="0" applyNumberFormat="1" applyFill="1" applyBorder="1" applyAlignment="1">
      <alignment horizontal="center" vertical="center"/>
    </xf>
    <xf numFmtId="0" fontId="1" fillId="3" borderId="13" xfId="0" applyFont="1" applyFill="1" applyBorder="1" applyAlignment="1">
      <alignment horizontal="center"/>
    </xf>
    <xf numFmtId="0" fontId="0" fillId="3" borderId="8" xfId="0" applyFill="1" applyBorder="1" applyAlignment="1">
      <alignment vertical="center"/>
    </xf>
    <xf numFmtId="0" fontId="0" fillId="3" borderId="8" xfId="0" applyFill="1" applyBorder="1" applyAlignment="1">
      <alignment horizontal="left" vertical="center" wrapText="1"/>
    </xf>
    <xf numFmtId="0" fontId="0" fillId="3" borderId="8" xfId="0" applyFill="1" applyBorder="1" applyAlignment="1">
      <alignment horizontal="left" vertical="center"/>
    </xf>
    <xf numFmtId="0" fontId="0" fillId="3" borderId="8" xfId="0" applyFill="1" applyBorder="1" applyAlignment="1">
      <alignment horizontal="center" vertical="center" wrapText="1"/>
    </xf>
    <xf numFmtId="2" fontId="0" fillId="3" borderId="8" xfId="0" applyNumberFormat="1" applyFill="1" applyBorder="1" applyAlignment="1">
      <alignment horizontal="center" vertical="center"/>
    </xf>
    <xf numFmtId="0" fontId="0" fillId="3" borderId="8" xfId="0" quotePrefix="1" applyFill="1" applyBorder="1" applyAlignment="1">
      <alignment horizontal="center" vertical="center"/>
    </xf>
    <xf numFmtId="0" fontId="0" fillId="3" borderId="6" xfId="0" applyFill="1" applyBorder="1" applyAlignment="1">
      <alignment horizontal="center" vertical="center"/>
    </xf>
    <xf numFmtId="1" fontId="0" fillId="3" borderId="74" xfId="0" quotePrefix="1" applyNumberFormat="1" applyFill="1" applyBorder="1" applyAlignment="1">
      <alignment horizontal="center" vertical="center"/>
    </xf>
    <xf numFmtId="0" fontId="2" fillId="3" borderId="12"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8" xfId="0" applyFont="1" applyFill="1" applyBorder="1" applyAlignment="1">
      <alignment horizontal="center" vertical="center" wrapText="1"/>
    </xf>
    <xf numFmtId="2" fontId="2" fillId="3" borderId="8" xfId="0" applyNumberFormat="1" applyFont="1" applyFill="1" applyBorder="1" applyAlignment="1">
      <alignment horizontal="center" vertical="center"/>
    </xf>
    <xf numFmtId="164" fontId="2" fillId="3" borderId="12" xfId="0" applyNumberFormat="1" applyFont="1" applyFill="1" applyBorder="1" applyAlignment="1">
      <alignment horizontal="center" vertical="center"/>
    </xf>
    <xf numFmtId="164" fontId="2" fillId="3" borderId="0" xfId="0" applyNumberFormat="1" applyFont="1" applyFill="1" applyBorder="1" applyAlignment="1">
      <alignment horizontal="center" vertical="center"/>
    </xf>
    <xf numFmtId="164" fontId="0" fillId="3" borderId="7" xfId="0" quotePrefix="1" applyNumberFormat="1" applyFill="1" applyBorder="1" applyAlignment="1">
      <alignment horizontal="center" vertical="center"/>
    </xf>
    <xf numFmtId="164" fontId="0" fillId="3" borderId="9" xfId="0" quotePrefix="1" applyNumberFormat="1" applyFill="1" applyBorder="1" applyAlignment="1">
      <alignment horizontal="center" vertical="center"/>
    </xf>
    <xf numFmtId="1" fontId="0" fillId="3" borderId="7" xfId="0" quotePrefix="1" applyNumberFormat="1" applyFill="1" applyBorder="1" applyAlignment="1">
      <alignment horizontal="center" vertical="center"/>
    </xf>
    <xf numFmtId="2" fontId="2" fillId="3" borderId="1" xfId="0" applyNumberFormat="1" applyFont="1" applyFill="1" applyBorder="1" applyAlignment="1">
      <alignment horizontal="center" vertical="center"/>
    </xf>
    <xf numFmtId="2" fontId="2" fillId="0" borderId="1" xfId="0" applyNumberFormat="1" applyFont="1" applyBorder="1" applyAlignment="1">
      <alignment horizontal="center" vertical="center" wrapText="1"/>
    </xf>
    <xf numFmtId="1" fontId="2" fillId="3" borderId="22" xfId="0" applyNumberFormat="1" applyFont="1" applyFill="1" applyBorder="1" applyAlignment="1">
      <alignment horizontal="center" vertical="center"/>
    </xf>
    <xf numFmtId="165" fontId="2" fillId="3" borderId="1" xfId="0" applyNumberFormat="1" applyFont="1" applyFill="1" applyBorder="1" applyAlignment="1">
      <alignment horizontal="center" vertical="center"/>
    </xf>
    <xf numFmtId="167" fontId="2" fillId="0" borderId="22" xfId="0" applyNumberFormat="1" applyFont="1" applyBorder="1" applyAlignment="1">
      <alignment horizontal="center" vertical="center" wrapText="1"/>
    </xf>
    <xf numFmtId="2" fontId="2" fillId="3" borderId="17" xfId="0" applyNumberFormat="1" applyFont="1" applyFill="1" applyBorder="1" applyAlignment="1">
      <alignment horizontal="center" vertical="center"/>
    </xf>
    <xf numFmtId="2" fontId="2" fillId="0" borderId="17" xfId="0" applyNumberFormat="1" applyFont="1" applyBorder="1" applyAlignment="1">
      <alignment horizontal="center" vertical="center" wrapText="1"/>
    </xf>
    <xf numFmtId="165" fontId="2" fillId="3" borderId="17" xfId="0" applyNumberFormat="1" applyFont="1" applyFill="1" applyBorder="1" applyAlignment="1">
      <alignment horizontal="center" vertical="center"/>
    </xf>
    <xf numFmtId="167" fontId="2" fillId="0" borderId="24" xfId="0" applyNumberFormat="1" applyFont="1" applyBorder="1" applyAlignment="1">
      <alignment horizontal="center" vertical="center" wrapText="1"/>
    </xf>
    <xf numFmtId="1" fontId="12" fillId="3" borderId="1" xfId="0" applyNumberFormat="1" applyFont="1" applyFill="1" applyBorder="1" applyAlignment="1">
      <alignment horizontal="left" vertical="center"/>
    </xf>
    <xf numFmtId="2" fontId="12" fillId="0" borderId="1" xfId="0" applyNumberFormat="1" applyFont="1" applyBorder="1" applyAlignment="1">
      <alignment horizontal="left" vertical="center" wrapText="1"/>
    </xf>
    <xf numFmtId="2" fontId="12" fillId="0" borderId="17" xfId="0" applyNumberFormat="1" applyFont="1" applyBorder="1" applyAlignment="1">
      <alignment horizontal="lef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2" fontId="0" fillId="0" borderId="1" xfId="0" applyNumberFormat="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14" borderId="37" xfId="0" applyFill="1" applyBorder="1" applyAlignment="1">
      <alignment vertical="center" wrapText="1"/>
    </xf>
    <xf numFmtId="0" fontId="0" fillId="0" borderId="25" xfId="0" applyBorder="1" applyAlignment="1">
      <alignment horizontal="center" vertical="center"/>
    </xf>
    <xf numFmtId="2" fontId="0" fillId="0" borderId="25" xfId="0" applyNumberFormat="1" applyBorder="1" applyAlignment="1">
      <alignment horizontal="center" vertical="center"/>
    </xf>
    <xf numFmtId="0" fontId="0" fillId="0" borderId="30" xfId="0" applyBorder="1" applyAlignment="1">
      <alignment horizontal="center" vertical="center"/>
    </xf>
    <xf numFmtId="0" fontId="1" fillId="12" borderId="38" xfId="0" applyFont="1" applyFill="1" applyBorder="1" applyAlignment="1">
      <alignment horizontal="center" vertical="center" wrapText="1"/>
    </xf>
    <xf numFmtId="0" fontId="36" fillId="13" borderId="43" xfId="0" applyFont="1" applyFill="1" applyBorder="1" applyAlignment="1">
      <alignment horizontal="center" vertical="center" wrapText="1"/>
    </xf>
    <xf numFmtId="0" fontId="1" fillId="13" borderId="43" xfId="0" applyFont="1" applyFill="1" applyBorder="1" applyAlignment="1">
      <alignment horizontal="center" vertical="center"/>
    </xf>
    <xf numFmtId="0" fontId="1" fillId="13" borderId="43" xfId="0" applyFont="1" applyFill="1" applyBorder="1" applyAlignment="1">
      <alignment horizontal="center" vertical="center" wrapText="1"/>
    </xf>
    <xf numFmtId="0" fontId="1" fillId="13" borderId="44" xfId="0" applyFont="1" applyFill="1" applyBorder="1" applyAlignment="1">
      <alignment horizontal="center" vertical="center" wrapText="1"/>
    </xf>
    <xf numFmtId="0" fontId="0" fillId="17" borderId="43" xfId="0" applyFill="1" applyBorder="1" applyAlignment="1">
      <alignment horizontal="center" vertical="center" wrapText="1"/>
    </xf>
    <xf numFmtId="167" fontId="2" fillId="3" borderId="0" xfId="0" applyNumberFormat="1" applyFont="1" applyFill="1" applyBorder="1" applyAlignment="1">
      <alignment horizontal="center" vertical="center"/>
    </xf>
    <xf numFmtId="0" fontId="2" fillId="3" borderId="0" xfId="0" applyFont="1" applyFill="1" applyBorder="1" applyAlignment="1">
      <alignment vertical="center" wrapText="1"/>
    </xf>
    <xf numFmtId="165" fontId="2" fillId="3" borderId="0" xfId="0" applyNumberFormat="1" applyFont="1" applyFill="1" applyBorder="1" applyAlignment="1">
      <alignment horizontal="center" vertical="center" wrapText="1"/>
    </xf>
    <xf numFmtId="0" fontId="2" fillId="3" borderId="0" xfId="0" applyFont="1" applyFill="1" applyBorder="1" applyAlignment="1">
      <alignment horizontal="left" vertical="center"/>
    </xf>
    <xf numFmtId="2" fontId="12" fillId="0" borderId="19" xfId="0" applyNumberFormat="1" applyFont="1" applyBorder="1" applyAlignment="1">
      <alignment horizontal="center" vertical="center"/>
    </xf>
    <xf numFmtId="2" fontId="12" fillId="0" borderId="42" xfId="0" applyNumberFormat="1" applyFont="1" applyBorder="1" applyAlignment="1">
      <alignment horizontal="center" vertical="center"/>
    </xf>
    <xf numFmtId="0" fontId="26" fillId="4" borderId="104" xfId="0" applyFont="1" applyFill="1" applyBorder="1" applyAlignment="1">
      <alignment horizontal="center" vertical="center" wrapText="1"/>
    </xf>
    <xf numFmtId="0" fontId="9" fillId="4" borderId="105" xfId="0" applyFont="1" applyFill="1" applyBorder="1" applyAlignment="1">
      <alignment horizontal="center" vertical="center" wrapText="1"/>
    </xf>
    <xf numFmtId="0" fontId="41" fillId="5" borderId="17" xfId="0" applyFont="1" applyFill="1" applyBorder="1" applyAlignment="1">
      <alignment horizontal="center" vertical="center" wrapText="1"/>
    </xf>
    <xf numFmtId="0" fontId="41" fillId="5" borderId="24" xfId="0" applyFont="1" applyFill="1" applyBorder="1" applyAlignment="1">
      <alignment horizontal="center" vertical="center" wrapText="1"/>
    </xf>
    <xf numFmtId="0" fontId="7" fillId="3" borderId="16" xfId="0" applyFont="1" applyFill="1" applyBorder="1" applyAlignment="1">
      <alignment horizontal="left" vertical="center"/>
    </xf>
    <xf numFmtId="167" fontId="12" fillId="0" borderId="39" xfId="0" applyNumberFormat="1" applyFont="1" applyBorder="1" applyAlignment="1">
      <alignment horizontal="center" vertical="center"/>
    </xf>
    <xf numFmtId="167" fontId="12" fillId="0" borderId="46" xfId="0" applyNumberFormat="1" applyFont="1" applyBorder="1" applyAlignment="1">
      <alignment horizontal="center" vertical="center"/>
    </xf>
    <xf numFmtId="2" fontId="0" fillId="0" borderId="17" xfId="0" applyNumberFormat="1" applyBorder="1" applyAlignment="1">
      <alignment horizontal="center" vertical="center"/>
    </xf>
    <xf numFmtId="1" fontId="0" fillId="3" borderId="0" xfId="0" applyNumberFormat="1" applyFill="1" applyAlignment="1">
      <alignment horizontal="center" vertical="center"/>
    </xf>
    <xf numFmtId="1" fontId="0" fillId="3" borderId="0" xfId="0" quotePrefix="1" applyNumberFormat="1" applyFill="1" applyAlignment="1">
      <alignment horizontal="center" vertical="center"/>
    </xf>
    <xf numFmtId="164" fontId="0" fillId="3" borderId="12" xfId="0" applyNumberFormat="1" applyFill="1" applyBorder="1" applyAlignment="1">
      <alignment horizontal="center" vertical="center"/>
    </xf>
    <xf numFmtId="164" fontId="0" fillId="3" borderId="0" xfId="0" applyNumberFormat="1" applyFill="1" applyBorder="1" applyAlignment="1">
      <alignment horizontal="center" vertical="center"/>
    </xf>
    <xf numFmtId="1" fontId="0" fillId="3" borderId="14" xfId="0" applyNumberFormat="1" applyFill="1" applyBorder="1" applyAlignment="1">
      <alignment horizontal="center" vertical="center"/>
    </xf>
    <xf numFmtId="0" fontId="1" fillId="3" borderId="5" xfId="0" applyFont="1" applyFill="1" applyBorder="1" applyAlignment="1">
      <alignment horizontal="center"/>
    </xf>
    <xf numFmtId="0" fontId="1" fillId="3" borderId="0" xfId="0" applyFont="1" applyFill="1" applyBorder="1" applyAlignment="1">
      <alignment horizontal="center"/>
    </xf>
    <xf numFmtId="0" fontId="1" fillId="3" borderId="0" xfId="0" applyFont="1" applyFill="1" applyBorder="1" applyAlignment="1">
      <alignment horizontal="center" wrapText="1"/>
    </xf>
    <xf numFmtId="0" fontId="1" fillId="3" borderId="7" xfId="0" applyFont="1" applyFill="1" applyBorder="1" applyAlignment="1">
      <alignment horizontal="center" wrapText="1"/>
    </xf>
    <xf numFmtId="165" fontId="12" fillId="0" borderId="16" xfId="0" applyNumberFormat="1" applyFont="1" applyBorder="1" applyAlignment="1">
      <alignment horizontal="center" vertical="center"/>
    </xf>
    <xf numFmtId="165" fontId="2" fillId="3" borderId="0" xfId="0" applyNumberFormat="1" applyFont="1" applyFill="1" applyAlignment="1">
      <alignment horizontal="center" vertical="center" wrapText="1"/>
    </xf>
    <xf numFmtId="11" fontId="12" fillId="3" borderId="0" xfId="0" applyNumberFormat="1" applyFont="1" applyFill="1" applyAlignment="1">
      <alignment vertical="center"/>
    </xf>
    <xf numFmtId="169" fontId="12" fillId="3" borderId="0" xfId="0" applyNumberFormat="1" applyFont="1" applyFill="1" applyAlignment="1">
      <alignment vertical="center"/>
    </xf>
    <xf numFmtId="1" fontId="12" fillId="3" borderId="0" xfId="0" applyNumberFormat="1" applyFont="1" applyFill="1" applyBorder="1" applyAlignment="1">
      <alignment horizontal="center" vertical="center"/>
    </xf>
    <xf numFmtId="1" fontId="12" fillId="0" borderId="16" xfId="0" applyNumberFormat="1" applyFont="1" applyBorder="1" applyAlignment="1">
      <alignment horizontal="center" vertical="center"/>
    </xf>
    <xf numFmtId="1" fontId="12" fillId="0" borderId="17" xfId="0" applyNumberFormat="1" applyFont="1" applyBorder="1" applyAlignment="1">
      <alignment horizontal="center" vertical="center"/>
    </xf>
    <xf numFmtId="165" fontId="3" fillId="3" borderId="32" xfId="0" applyNumberFormat="1" applyFont="1" applyFill="1" applyBorder="1" applyAlignment="1">
      <alignment vertical="center" wrapText="1"/>
    </xf>
    <xf numFmtId="0" fontId="2" fillId="3" borderId="0" xfId="0" applyFont="1" applyFill="1" applyBorder="1" applyAlignment="1">
      <alignment horizontal="center" wrapText="1"/>
    </xf>
    <xf numFmtId="0" fontId="2" fillId="3" borderId="1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quotePrefix="1" applyFont="1" applyFill="1" applyAlignment="1">
      <alignment horizontal="center" vertical="center"/>
    </xf>
    <xf numFmtId="0" fontId="2" fillId="3" borderId="76" xfId="0" quotePrefix="1" applyFont="1" applyFill="1" applyBorder="1" applyAlignment="1">
      <alignment horizontal="center"/>
    </xf>
    <xf numFmtId="11" fontId="2" fillId="3" borderId="84" xfId="0" applyNumberFormat="1" applyFont="1" applyFill="1" applyBorder="1" applyAlignment="1">
      <alignment horizontal="center"/>
    </xf>
    <xf numFmtId="165" fontId="12" fillId="0" borderId="39" xfId="0" applyNumberFormat="1" applyFont="1" applyBorder="1" applyAlignment="1">
      <alignment horizontal="center" vertical="center"/>
    </xf>
    <xf numFmtId="0" fontId="8" fillId="5" borderId="26" xfId="0" applyFont="1" applyFill="1" applyBorder="1" applyAlignment="1">
      <alignment horizontal="center" wrapText="1"/>
    </xf>
    <xf numFmtId="0" fontId="9" fillId="5" borderId="28" xfId="0" applyFont="1" applyFill="1" applyBorder="1" applyAlignment="1">
      <alignment horizontal="center" vertical="center" wrapText="1"/>
    </xf>
    <xf numFmtId="0" fontId="8" fillId="0" borderId="16" xfId="0" quotePrefix="1" applyFont="1" applyBorder="1" applyAlignment="1">
      <alignment horizontal="center" vertical="center" wrapText="1"/>
    </xf>
    <xf numFmtId="0" fontId="8" fillId="0" borderId="17" xfId="0" quotePrefix="1" applyFont="1" applyBorder="1" applyAlignment="1">
      <alignment horizontal="center" vertical="center" wrapText="1"/>
    </xf>
    <xf numFmtId="2" fontId="12" fillId="0" borderId="60" xfId="0" applyNumberFormat="1" applyFont="1" applyBorder="1" applyAlignment="1">
      <alignment horizontal="center" vertical="center"/>
    </xf>
    <xf numFmtId="2" fontId="12" fillId="0" borderId="64" xfId="0" applyNumberFormat="1" applyFont="1" applyBorder="1" applyAlignment="1">
      <alignment horizontal="center" vertical="center"/>
    </xf>
    <xf numFmtId="165" fontId="12" fillId="0" borderId="17" xfId="0" applyNumberFormat="1" applyFont="1" applyFill="1" applyBorder="1" applyAlignment="1">
      <alignment horizontal="center" vertical="center"/>
    </xf>
    <xf numFmtId="165" fontId="12" fillId="0" borderId="24" xfId="0" applyNumberFormat="1" applyFont="1" applyFill="1" applyBorder="1" applyAlignment="1">
      <alignment horizontal="center" vertical="center"/>
    </xf>
    <xf numFmtId="0" fontId="7" fillId="0" borderId="18" xfId="0" applyFont="1" applyBorder="1" applyAlignment="1">
      <alignment horizontal="center" vertical="center"/>
    </xf>
    <xf numFmtId="0" fontId="0" fillId="3" borderId="20" xfId="0" applyFill="1" applyBorder="1" applyAlignment="1">
      <alignment horizontal="center" vertical="center"/>
    </xf>
    <xf numFmtId="0" fontId="0" fillId="3" borderId="24" xfId="0" applyFill="1" applyBorder="1" applyAlignment="1">
      <alignment horizontal="center" vertical="center"/>
    </xf>
    <xf numFmtId="0" fontId="7" fillId="0" borderId="83" xfId="0" applyFont="1" applyBorder="1" applyAlignment="1">
      <alignment horizontal="center" vertical="center"/>
    </xf>
    <xf numFmtId="164" fontId="0" fillId="3" borderId="0" xfId="0" applyNumberFormat="1" applyFill="1" applyAlignment="1">
      <alignment horizontal="center" vertical="center"/>
    </xf>
    <xf numFmtId="0" fontId="7" fillId="3" borderId="27" xfId="0" applyFont="1" applyFill="1" applyBorder="1" applyAlignment="1">
      <alignment vertical="center"/>
    </xf>
    <xf numFmtId="0" fontId="7" fillId="3" borderId="5" xfId="0" applyFont="1" applyFill="1" applyBorder="1" applyAlignment="1">
      <alignment horizontal="center" vertical="center"/>
    </xf>
    <xf numFmtId="0" fontId="7" fillId="3" borderId="39" xfId="0" applyFont="1" applyFill="1" applyBorder="1" applyAlignment="1">
      <alignment horizontal="center" vertical="center"/>
    </xf>
    <xf numFmtId="1" fontId="12" fillId="3" borderId="33" xfId="0" applyNumberFormat="1" applyFont="1" applyFill="1" applyBorder="1" applyAlignment="1">
      <alignment horizontal="center" vertical="center" wrapText="1"/>
    </xf>
    <xf numFmtId="0" fontId="0" fillId="3" borderId="0" xfId="0" applyFill="1" applyBorder="1" applyAlignment="1">
      <alignment horizontal="center" vertical="center"/>
    </xf>
    <xf numFmtId="2" fontId="16" fillId="3" borderId="0" xfId="0" applyNumberFormat="1" applyFont="1" applyFill="1" applyBorder="1" applyAlignment="1">
      <alignment horizontal="center" vertical="center"/>
    </xf>
    <xf numFmtId="1" fontId="0" fillId="3" borderId="0" xfId="0" applyNumberFormat="1" applyFill="1" applyBorder="1" applyAlignment="1">
      <alignment horizontal="center" vertical="center"/>
    </xf>
    <xf numFmtId="1" fontId="0" fillId="3" borderId="0" xfId="0" applyNumberFormat="1" applyFill="1" applyBorder="1" applyAlignment="1">
      <alignment horizontal="center" vertical="center" wrapText="1"/>
    </xf>
    <xf numFmtId="0" fontId="21" fillId="2" borderId="23" xfId="0" applyFont="1" applyFill="1" applyBorder="1" applyAlignment="1" applyProtection="1">
      <alignment horizontal="center" vertical="center" wrapText="1"/>
      <protection locked="0"/>
    </xf>
    <xf numFmtId="0" fontId="21" fillId="2" borderId="65" xfId="0" applyFont="1" applyFill="1" applyBorder="1" applyAlignment="1" applyProtection="1">
      <alignment horizontal="center" vertical="center" wrapText="1"/>
      <protection locked="0"/>
    </xf>
    <xf numFmtId="1" fontId="21" fillId="2" borderId="24" xfId="2" applyNumberFormat="1" applyFont="1" applyFill="1" applyBorder="1" applyAlignment="1" applyProtection="1">
      <alignment horizontal="center" vertical="center" wrapText="1"/>
      <protection locked="0"/>
    </xf>
    <xf numFmtId="0" fontId="21" fillId="2" borderId="48" xfId="0" applyFont="1" applyFill="1" applyBorder="1" applyAlignment="1" applyProtection="1">
      <alignment horizontal="center" vertical="center" wrapText="1"/>
      <protection locked="0"/>
    </xf>
    <xf numFmtId="0" fontId="12" fillId="2" borderId="23" xfId="0" applyFont="1" applyFill="1" applyBorder="1" applyAlignment="1" applyProtection="1">
      <alignment horizontal="center" vertical="center" wrapText="1"/>
      <protection locked="0"/>
    </xf>
    <xf numFmtId="0" fontId="12" fillId="2" borderId="17" xfId="0" applyFont="1" applyFill="1" applyBorder="1" applyAlignment="1" applyProtection="1">
      <alignment vertical="center" wrapText="1"/>
      <protection locked="0"/>
    </xf>
    <xf numFmtId="0" fontId="12" fillId="2" borderId="48" xfId="0" applyFont="1" applyFill="1" applyBorder="1" applyAlignment="1" applyProtection="1">
      <alignment horizontal="center" vertical="center" wrapText="1"/>
      <protection locked="0"/>
    </xf>
    <xf numFmtId="0" fontId="7" fillId="0" borderId="41" xfId="0" applyFont="1" applyBorder="1" applyAlignment="1">
      <alignment horizontal="center" vertical="center"/>
    </xf>
    <xf numFmtId="0" fontId="7" fillId="0" borderId="39" xfId="0" applyFont="1" applyBorder="1" applyAlignment="1">
      <alignment vertical="center"/>
    </xf>
    <xf numFmtId="0" fontId="7" fillId="0" borderId="39" xfId="0" applyFont="1" applyBorder="1" applyAlignment="1">
      <alignment horizontal="center" vertical="center"/>
    </xf>
    <xf numFmtId="2" fontId="7" fillId="0" borderId="39" xfId="0" applyNumberFormat="1" applyFont="1" applyBorder="1" applyAlignment="1">
      <alignment horizontal="center" vertical="center"/>
    </xf>
    <xf numFmtId="1" fontId="7" fillId="0" borderId="39" xfId="0" applyNumberFormat="1" applyFont="1" applyBorder="1" applyAlignment="1">
      <alignment horizontal="center" vertical="center"/>
    </xf>
    <xf numFmtId="0" fontId="7" fillId="0" borderId="42" xfId="0" applyFont="1" applyBorder="1" applyAlignment="1">
      <alignment horizontal="center" vertical="center"/>
    </xf>
    <xf numFmtId="0" fontId="7" fillId="0" borderId="48" xfId="0" applyFont="1" applyFill="1" applyBorder="1"/>
    <xf numFmtId="0" fontId="0" fillId="14" borderId="35" xfId="0" applyFill="1" applyBorder="1" applyAlignment="1">
      <alignment vertical="center" wrapText="1"/>
    </xf>
    <xf numFmtId="0" fontId="0" fillId="0" borderId="33" xfId="0" applyBorder="1" applyAlignment="1">
      <alignment wrapText="1"/>
    </xf>
    <xf numFmtId="0" fontId="0" fillId="0" borderId="33" xfId="0" applyBorder="1" applyAlignment="1">
      <alignment horizontal="center" vertical="center"/>
    </xf>
    <xf numFmtId="0" fontId="0" fillId="0" borderId="34" xfId="0" applyBorder="1" applyAlignment="1">
      <alignment horizontal="center" vertical="center"/>
    </xf>
    <xf numFmtId="0" fontId="9" fillId="5" borderId="26"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xf>
    <xf numFmtId="0" fontId="9" fillId="5" borderId="33"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23"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2" fillId="3" borderId="0" xfId="0" applyFont="1" applyFill="1" applyAlignment="1">
      <alignment horizontal="center" vertical="center" wrapText="1"/>
    </xf>
    <xf numFmtId="0" fontId="27" fillId="3" borderId="0" xfId="0" applyFont="1" applyFill="1" applyBorder="1" applyAlignment="1">
      <alignment horizontal="center" vertical="center" wrapText="1"/>
    </xf>
    <xf numFmtId="0" fontId="7" fillId="0" borderId="39" xfId="0" applyFont="1" applyBorder="1" applyAlignment="1">
      <alignment horizontal="center" vertical="center" wrapText="1"/>
    </xf>
    <xf numFmtId="0" fontId="0" fillId="3" borderId="12" xfId="0" applyFill="1" applyBorder="1" applyAlignment="1">
      <alignment horizontal="left" vertical="center" wrapText="1"/>
    </xf>
    <xf numFmtId="0" fontId="0" fillId="3" borderId="0" xfId="0" applyFill="1" applyBorder="1" applyAlignment="1">
      <alignment horizontal="left" vertical="center" wrapText="1"/>
    </xf>
    <xf numFmtId="0" fontId="0" fillId="3" borderId="0" xfId="0" applyFill="1" applyAlignment="1">
      <alignment horizontal="left" vertical="center" wrapText="1"/>
    </xf>
    <xf numFmtId="0" fontId="36" fillId="13" borderId="27" xfId="0" applyFont="1" applyFill="1" applyBorder="1" applyAlignment="1">
      <alignment horizontal="center" vertical="center" wrapText="1"/>
    </xf>
    <xf numFmtId="0" fontId="8" fillId="2" borderId="1" xfId="0" applyFont="1" applyFill="1" applyBorder="1" applyAlignment="1">
      <alignment horizontal="center" vertical="center" wrapText="1"/>
    </xf>
    <xf numFmtId="2" fontId="7" fillId="0" borderId="55" xfId="0" applyNumberFormat="1" applyFont="1" applyBorder="1" applyAlignment="1">
      <alignment horizontal="center" vertical="center"/>
    </xf>
    <xf numFmtId="2" fontId="7" fillId="0" borderId="82" xfId="0" applyNumberFormat="1" applyFont="1" applyBorder="1" applyAlignment="1">
      <alignment horizontal="center" vertical="center"/>
    </xf>
    <xf numFmtId="0" fontId="0" fillId="3" borderId="0" xfId="0" applyFill="1" applyBorder="1" applyAlignment="1">
      <alignment horizontal="left" vertical="top" wrapText="1"/>
    </xf>
    <xf numFmtId="0" fontId="1" fillId="0" borderId="0" xfId="0" applyFont="1" applyAlignment="1">
      <alignment vertical="center"/>
    </xf>
    <xf numFmtId="0" fontId="0" fillId="0" borderId="0" xfId="0" applyAlignment="1">
      <alignment vertical="center" wrapText="1"/>
    </xf>
    <xf numFmtId="0" fontId="0" fillId="0" borderId="1" xfId="0" applyBorder="1" applyAlignment="1">
      <alignment vertical="center" wrapText="1"/>
    </xf>
    <xf numFmtId="0" fontId="0" fillId="0" borderId="0" xfId="0" applyAlignment="1">
      <alignment horizontal="left" vertical="center" wrapText="1"/>
    </xf>
    <xf numFmtId="0" fontId="12" fillId="2" borderId="21" xfId="0" applyFont="1" applyFill="1" applyBorder="1" applyAlignment="1">
      <alignment horizontal="center" vertical="center" wrapText="1"/>
    </xf>
    <xf numFmtId="2" fontId="12" fillId="0" borderId="26" xfId="0" applyNumberFormat="1" applyFont="1" applyBorder="1" applyAlignment="1">
      <alignment horizontal="center" vertical="center" wrapText="1"/>
    </xf>
    <xf numFmtId="2" fontId="12" fillId="0" borderId="39" xfId="0" applyNumberFormat="1" applyFont="1" applyBorder="1" applyAlignment="1">
      <alignment horizontal="center" vertical="center" wrapText="1"/>
    </xf>
    <xf numFmtId="0" fontId="12" fillId="2" borderId="23"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40" xfId="0" applyFont="1" applyFill="1" applyBorder="1" applyAlignment="1">
      <alignment horizontal="center" vertical="center" wrapText="1"/>
    </xf>
    <xf numFmtId="1" fontId="2" fillId="3" borderId="1" xfId="0" applyNumberFormat="1" applyFont="1" applyFill="1" applyBorder="1" applyAlignment="1">
      <alignment horizontal="center" vertical="center"/>
    </xf>
    <xf numFmtId="0" fontId="7" fillId="3" borderId="35"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2" fillId="3" borderId="40" xfId="0" applyFont="1" applyFill="1" applyBorder="1" applyAlignment="1">
      <alignment horizontal="center" vertical="center"/>
    </xf>
    <xf numFmtId="1" fontId="2" fillId="3" borderId="33" xfId="0" applyNumberFormat="1" applyFont="1" applyFill="1" applyBorder="1" applyAlignment="1">
      <alignment horizontal="center" vertical="center"/>
    </xf>
    <xf numFmtId="1" fontId="2" fillId="3" borderId="25" xfId="0" applyNumberFormat="1" applyFont="1" applyFill="1" applyBorder="1" applyAlignment="1">
      <alignment horizontal="center" vertical="center"/>
    </xf>
    <xf numFmtId="1" fontId="2" fillId="3" borderId="39" xfId="0" applyNumberFormat="1" applyFont="1" applyFill="1" applyBorder="1" applyAlignment="1">
      <alignment horizontal="center" vertical="center"/>
    </xf>
    <xf numFmtId="0" fontId="8" fillId="2" borderId="18" xfId="0" applyFont="1" applyFill="1" applyBorder="1" applyAlignment="1">
      <alignment horizontal="center" vertical="center"/>
    </xf>
    <xf numFmtId="0" fontId="8" fillId="2" borderId="23" xfId="0" applyFont="1" applyFill="1" applyBorder="1" applyAlignment="1">
      <alignment horizontal="center" vertical="center"/>
    </xf>
    <xf numFmtId="165" fontId="0" fillId="3" borderId="16" xfId="0" applyNumberFormat="1" applyFill="1" applyBorder="1" applyAlignment="1">
      <alignment horizontal="center" vertical="center"/>
    </xf>
    <xf numFmtId="165" fontId="0" fillId="3" borderId="17" xfId="0" applyNumberFormat="1" applyFill="1" applyBorder="1" applyAlignment="1">
      <alignment horizontal="center" vertical="center"/>
    </xf>
    <xf numFmtId="2" fontId="0" fillId="3" borderId="16" xfId="0" applyNumberFormat="1" applyFill="1" applyBorder="1" applyAlignment="1">
      <alignment horizontal="center" vertical="center"/>
    </xf>
    <xf numFmtId="2" fontId="0" fillId="3" borderId="17" xfId="0" applyNumberFormat="1" applyFill="1" applyBorder="1" applyAlignment="1">
      <alignment horizontal="center" vertical="center"/>
    </xf>
    <xf numFmtId="0" fontId="12" fillId="2" borderId="18"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41" xfId="0" applyFont="1" applyFill="1" applyBorder="1" applyAlignment="1">
      <alignment horizontal="center" vertical="center" wrapText="1"/>
    </xf>
    <xf numFmtId="1" fontId="0" fillId="3" borderId="26" xfId="0" applyNumberFormat="1" applyFill="1" applyBorder="1" applyAlignment="1">
      <alignment horizontal="center" vertical="center"/>
    </xf>
    <xf numFmtId="1" fontId="0" fillId="3" borderId="39" xfId="0" applyNumberFormat="1" applyFill="1" applyBorder="1" applyAlignment="1">
      <alignment horizontal="center" vertical="center"/>
    </xf>
    <xf numFmtId="164" fontId="0" fillId="3" borderId="16" xfId="0" applyNumberFormat="1" applyFill="1" applyBorder="1" applyAlignment="1">
      <alignment horizontal="center" vertical="center"/>
    </xf>
    <xf numFmtId="164" fontId="0" fillId="3" borderId="17" xfId="0" applyNumberFormat="1" applyFill="1" applyBorder="1" applyAlignment="1">
      <alignment horizontal="center" vertical="center"/>
    </xf>
    <xf numFmtId="0" fontId="12" fillId="2" borderId="35" xfId="0" applyFont="1" applyFill="1" applyBorder="1" applyAlignment="1">
      <alignment horizontal="center" vertical="center" wrapText="1"/>
    </xf>
    <xf numFmtId="0" fontId="12" fillId="2" borderId="37" xfId="0" applyFont="1" applyFill="1" applyBorder="1" applyAlignment="1">
      <alignment horizontal="center" vertical="center" wrapText="1"/>
    </xf>
    <xf numFmtId="2" fontId="0" fillId="3" borderId="26" xfId="0" applyNumberFormat="1" applyFill="1" applyBorder="1" applyAlignment="1">
      <alignment horizontal="center" vertical="center"/>
    </xf>
    <xf numFmtId="2" fontId="0" fillId="3" borderId="39" xfId="0" applyNumberFormat="1" applyFill="1" applyBorder="1" applyAlignment="1">
      <alignment horizontal="center" vertical="center"/>
    </xf>
    <xf numFmtId="0" fontId="9" fillId="5" borderId="51" xfId="0" applyFont="1" applyFill="1" applyBorder="1" applyAlignment="1">
      <alignment horizontal="center" vertical="center" wrapText="1"/>
    </xf>
    <xf numFmtId="0" fontId="9" fillId="5" borderId="61"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31" xfId="0" applyFont="1" applyBorder="1" applyAlignment="1">
      <alignment horizontal="center" vertical="center" wrapText="1"/>
    </xf>
    <xf numFmtId="0" fontId="3" fillId="2" borderId="18"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9" fillId="5" borderId="16"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26" xfId="0" applyFont="1" applyFill="1" applyBorder="1" applyAlignment="1">
      <alignment horizontal="center" vertical="center"/>
    </xf>
    <xf numFmtId="0" fontId="9" fillId="5" borderId="39" xfId="0" applyFont="1" applyFill="1" applyBorder="1" applyAlignment="1">
      <alignment horizontal="center" vertical="center"/>
    </xf>
    <xf numFmtId="0" fontId="9" fillId="5" borderId="19"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55" xfId="0" applyFont="1" applyFill="1" applyBorder="1" applyAlignment="1">
      <alignment horizontal="center" vertical="center" wrapText="1"/>
    </xf>
    <xf numFmtId="0" fontId="9" fillId="5" borderId="18" xfId="0" applyFont="1" applyFill="1" applyBorder="1" applyAlignment="1">
      <alignment horizontal="center" vertical="center"/>
    </xf>
    <xf numFmtId="0" fontId="9" fillId="5" borderId="23"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1" xfId="0" applyFont="1" applyFill="1" applyBorder="1" applyAlignment="1">
      <alignment horizontal="center" vertical="center"/>
    </xf>
    <xf numFmtId="168" fontId="7" fillId="2" borderId="21" xfId="0" applyNumberFormat="1" applyFont="1" applyFill="1" applyBorder="1" applyAlignment="1">
      <alignment horizontal="center" vertical="center" wrapText="1"/>
    </xf>
    <xf numFmtId="0" fontId="7" fillId="2" borderId="23" xfId="0" applyFont="1" applyFill="1" applyBorder="1" applyAlignment="1">
      <alignment horizontal="center" vertical="center"/>
    </xf>
    <xf numFmtId="0" fontId="11" fillId="3" borderId="32" xfId="0" applyFont="1" applyFill="1" applyBorder="1" applyAlignment="1">
      <alignment horizontal="left" vertical="center"/>
    </xf>
    <xf numFmtId="0" fontId="11" fillId="3" borderId="0" xfId="0" applyFont="1" applyFill="1" applyAlignment="1">
      <alignment horizontal="left" vertical="center"/>
    </xf>
    <xf numFmtId="0" fontId="9" fillId="5" borderId="2" xfId="0" applyFont="1" applyFill="1" applyBorder="1" applyAlignment="1">
      <alignment horizontal="center" vertical="center" wrapText="1"/>
    </xf>
    <xf numFmtId="0" fontId="9" fillId="5" borderId="27" xfId="0" applyFont="1" applyFill="1" applyBorder="1" applyAlignment="1">
      <alignment horizontal="center" vertical="center"/>
    </xf>
    <xf numFmtId="0" fontId="22" fillId="4" borderId="43" xfId="0" applyFont="1" applyFill="1" applyBorder="1" applyAlignment="1">
      <alignment horizontal="center" vertical="center" wrapText="1"/>
    </xf>
    <xf numFmtId="0" fontId="22" fillId="4" borderId="44"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9" borderId="56" xfId="0" applyFont="1" applyFill="1" applyBorder="1" applyAlignment="1">
      <alignment horizontal="center" vertical="center"/>
    </xf>
    <xf numFmtId="0" fontId="1" fillId="9" borderId="59" xfId="0" applyFont="1" applyFill="1" applyBorder="1" applyAlignment="1">
      <alignment horizontal="center" vertical="center"/>
    </xf>
    <xf numFmtId="0" fontId="1" fillId="9" borderId="57" xfId="0" applyFont="1" applyFill="1" applyBorder="1" applyAlignment="1">
      <alignment horizontal="center" vertical="center"/>
    </xf>
    <xf numFmtId="0" fontId="9" fillId="5" borderId="17"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2" fillId="4" borderId="56" xfId="0" applyFont="1" applyFill="1" applyBorder="1" applyAlignment="1">
      <alignment horizontal="center" vertical="center" wrapText="1"/>
    </xf>
    <xf numFmtId="0" fontId="22" fillId="4" borderId="57" xfId="0" applyFont="1" applyFill="1" applyBorder="1" applyAlignment="1">
      <alignment horizontal="center" vertical="center" wrapText="1"/>
    </xf>
    <xf numFmtId="0" fontId="9" fillId="5" borderId="36" xfId="0" applyFont="1" applyFill="1" applyBorder="1" applyAlignment="1">
      <alignment horizontal="center" vertical="center"/>
    </xf>
    <xf numFmtId="0" fontId="9" fillId="5" borderId="41" xfId="0" applyFont="1" applyFill="1" applyBorder="1" applyAlignment="1">
      <alignment horizontal="center" vertical="center"/>
    </xf>
    <xf numFmtId="0" fontId="21" fillId="2" borderId="31" xfId="0" applyFont="1" applyFill="1" applyBorder="1" applyAlignment="1" applyProtection="1">
      <alignment horizontal="center" vertical="center" wrapText="1"/>
      <protection locked="0"/>
    </xf>
    <xf numFmtId="0" fontId="21" fillId="2" borderId="85" xfId="0" applyFont="1" applyFill="1" applyBorder="1" applyAlignment="1" applyProtection="1">
      <alignment horizontal="center" vertical="center" wrapText="1"/>
      <protection locked="0"/>
    </xf>
    <xf numFmtId="0" fontId="23" fillId="4" borderId="19" xfId="0" applyFont="1" applyFill="1" applyBorder="1" applyAlignment="1">
      <alignment horizontal="center" vertical="center" wrapText="1"/>
    </xf>
    <xf numFmtId="0" fontId="23" fillId="4" borderId="47" xfId="0" applyFont="1" applyFill="1" applyBorder="1" applyAlignment="1">
      <alignment horizontal="center" vertical="center" wrapText="1"/>
    </xf>
    <xf numFmtId="0" fontId="9" fillId="5" borderId="21" xfId="0" applyFont="1" applyFill="1" applyBorder="1" applyAlignment="1">
      <alignment horizontal="center" vertical="center" wrapText="1"/>
    </xf>
    <xf numFmtId="2" fontId="12" fillId="0" borderId="45" xfId="0" applyNumberFormat="1" applyFont="1" applyBorder="1" applyAlignment="1">
      <alignment horizontal="center" vertical="center" wrapText="1"/>
    </xf>
    <xf numFmtId="2" fontId="12" fillId="0" borderId="41" xfId="0" applyNumberFormat="1" applyFont="1" applyBorder="1" applyAlignment="1">
      <alignment horizontal="center" vertical="center" wrapText="1"/>
    </xf>
    <xf numFmtId="0" fontId="7" fillId="0" borderId="27" xfId="0" quotePrefix="1" applyFont="1" applyBorder="1" applyAlignment="1">
      <alignment horizontal="center" vertical="center" wrapText="1"/>
    </xf>
    <xf numFmtId="0" fontId="7" fillId="0" borderId="39" xfId="0" applyFont="1" applyBorder="1" applyAlignment="1">
      <alignment horizontal="center" vertical="center" wrapText="1"/>
    </xf>
    <xf numFmtId="0" fontId="7" fillId="0" borderId="26" xfId="0" quotePrefix="1" applyFont="1" applyBorder="1" applyAlignment="1">
      <alignment horizontal="center" vertical="center" wrapText="1"/>
    </xf>
    <xf numFmtId="165" fontId="12" fillId="0" borderId="36" xfId="0" applyNumberFormat="1" applyFont="1" applyBorder="1" applyAlignment="1">
      <alignment horizontal="center" vertical="center" wrapText="1"/>
    </xf>
    <xf numFmtId="165" fontId="12" fillId="0" borderId="41" xfId="0" applyNumberFormat="1" applyFont="1" applyBorder="1" applyAlignment="1">
      <alignment horizontal="center" vertical="center" wrapText="1"/>
    </xf>
    <xf numFmtId="0" fontId="9" fillId="5" borderId="97"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6" fillId="4" borderId="62" xfId="0" applyFont="1" applyFill="1" applyBorder="1" applyAlignment="1">
      <alignment horizontal="center" vertical="center" wrapText="1"/>
    </xf>
    <xf numFmtId="0" fontId="26" fillId="4" borderId="63" xfId="0" applyFont="1" applyFill="1" applyBorder="1" applyAlignment="1">
      <alignment horizontal="center" vertical="center" wrapText="1"/>
    </xf>
    <xf numFmtId="0" fontId="26" fillId="4" borderId="52"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12" fillId="2" borderId="31" xfId="0" applyFont="1" applyFill="1" applyBorder="1" applyAlignment="1" applyProtection="1">
      <alignment horizontal="center" vertical="center" wrapText="1"/>
      <protection locked="0"/>
    </xf>
    <xf numFmtId="0" fontId="12" fillId="2" borderId="85" xfId="0" applyFont="1" applyFill="1" applyBorder="1" applyAlignment="1" applyProtection="1">
      <alignment horizontal="center" vertical="center" wrapText="1"/>
      <protection locked="0"/>
    </xf>
    <xf numFmtId="0" fontId="9" fillId="5" borderId="33" xfId="0" applyFont="1" applyFill="1" applyBorder="1" applyAlignment="1">
      <alignment horizontal="center" vertical="center"/>
    </xf>
    <xf numFmtId="0" fontId="9" fillId="5" borderId="83" xfId="0" applyFont="1" applyFill="1" applyBorder="1" applyAlignment="1">
      <alignment horizontal="center" vertical="center" wrapText="1"/>
    </xf>
    <xf numFmtId="0" fontId="9" fillId="5" borderId="86" xfId="0" applyFont="1" applyFill="1" applyBorder="1" applyAlignment="1">
      <alignment horizontal="center" vertical="center" wrapText="1"/>
    </xf>
    <xf numFmtId="168" fontId="7" fillId="2" borderId="37" xfId="0" quotePrefix="1" applyNumberFormat="1"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1" fillId="3" borderId="88" xfId="0" applyFont="1" applyFill="1" applyBorder="1" applyAlignment="1">
      <alignment horizontal="center" vertical="center" wrapText="1"/>
    </xf>
    <xf numFmtId="0" fontId="1" fillId="3" borderId="89" xfId="0" applyFont="1" applyFill="1" applyBorder="1" applyAlignment="1">
      <alignment horizontal="center" vertical="center" wrapText="1"/>
    </xf>
    <xf numFmtId="0" fontId="1" fillId="3" borderId="87" xfId="0" applyFont="1" applyFill="1" applyBorder="1" applyAlignment="1">
      <alignment horizontal="center" vertical="center" wrapText="1"/>
    </xf>
    <xf numFmtId="0" fontId="0" fillId="3" borderId="92" xfId="0" applyFont="1" applyFill="1" applyBorder="1" applyAlignment="1">
      <alignment horizontal="left" vertical="center" wrapText="1"/>
    </xf>
    <xf numFmtId="0" fontId="0" fillId="3" borderId="93" xfId="0" applyFont="1" applyFill="1" applyBorder="1" applyAlignment="1">
      <alignment horizontal="left" vertical="center" wrapText="1"/>
    </xf>
    <xf numFmtId="0" fontId="0" fillId="3" borderId="77" xfId="0" applyFont="1" applyFill="1" applyBorder="1" applyAlignment="1">
      <alignment horizontal="left" vertical="center" wrapText="1"/>
    </xf>
    <xf numFmtId="0" fontId="0" fillId="3" borderId="79" xfId="0" applyFont="1" applyFill="1" applyBorder="1" applyAlignment="1">
      <alignment horizontal="left" vertical="center" wrapText="1"/>
    </xf>
    <xf numFmtId="0" fontId="17" fillId="3" borderId="92" xfId="0" applyFont="1" applyFill="1" applyBorder="1" applyAlignment="1">
      <alignment horizontal="left" vertical="center" wrapText="1"/>
    </xf>
    <xf numFmtId="0" fontId="17" fillId="3" borderId="93" xfId="0" applyFont="1" applyFill="1" applyBorder="1" applyAlignment="1">
      <alignment horizontal="left" vertical="center" wrapText="1"/>
    </xf>
    <xf numFmtId="0" fontId="17" fillId="3" borderId="77" xfId="0" applyFont="1" applyFill="1" applyBorder="1" applyAlignment="1">
      <alignment horizontal="left" vertical="center" wrapText="1"/>
    </xf>
    <xf numFmtId="0" fontId="17" fillId="3" borderId="94" xfId="0" applyFont="1" applyFill="1" applyBorder="1" applyAlignment="1">
      <alignment horizontal="left" vertical="center" wrapText="1"/>
    </xf>
    <xf numFmtId="0" fontId="17" fillId="3" borderId="79" xfId="0" applyFont="1" applyFill="1" applyBorder="1" applyAlignment="1">
      <alignment horizontal="left" vertical="center" wrapText="1"/>
    </xf>
    <xf numFmtId="0" fontId="0" fillId="3" borderId="94" xfId="0" applyFont="1" applyFill="1" applyBorder="1" applyAlignment="1">
      <alignment horizontal="left" vertical="center" wrapText="1"/>
    </xf>
    <xf numFmtId="2" fontId="7" fillId="3" borderId="36" xfId="0" applyNumberFormat="1" applyFont="1" applyFill="1" applyBorder="1" applyAlignment="1">
      <alignment horizontal="center" vertical="center"/>
    </xf>
    <xf numFmtId="2" fontId="7" fillId="3" borderId="41" xfId="0" applyNumberFormat="1" applyFont="1" applyFill="1" applyBorder="1" applyAlignment="1">
      <alignment horizontal="center" vertical="center"/>
    </xf>
    <xf numFmtId="0" fontId="0" fillId="3" borderId="90" xfId="0" applyFont="1" applyFill="1" applyBorder="1" applyAlignment="1">
      <alignment horizontal="center" vertical="center" wrapText="1"/>
    </xf>
    <xf numFmtId="0" fontId="0" fillId="3" borderId="91" xfId="0" applyFont="1" applyFill="1" applyBorder="1" applyAlignment="1">
      <alignment horizontal="center" vertical="center" wrapText="1"/>
    </xf>
    <xf numFmtId="0" fontId="0" fillId="3" borderId="78" xfId="0" applyFont="1" applyFill="1" applyBorder="1" applyAlignment="1">
      <alignment horizontal="left" vertical="center" wrapText="1"/>
    </xf>
    <xf numFmtId="0" fontId="0" fillId="3" borderId="95" xfId="0" applyFont="1" applyFill="1" applyBorder="1" applyAlignment="1">
      <alignment horizontal="left" vertical="center" wrapText="1"/>
    </xf>
    <xf numFmtId="0" fontId="0" fillId="3" borderId="80" xfId="0" applyFont="1" applyFill="1" applyBorder="1" applyAlignment="1">
      <alignment horizontal="left" vertical="center" wrapText="1"/>
    </xf>
    <xf numFmtId="0" fontId="0" fillId="3" borderId="91" xfId="0" applyFont="1" applyFill="1" applyBorder="1" applyAlignment="1">
      <alignment horizontal="left" vertical="center" wrapText="1"/>
    </xf>
    <xf numFmtId="165" fontId="7" fillId="3" borderId="36" xfId="0" applyNumberFormat="1" applyFont="1" applyFill="1" applyBorder="1" applyAlignment="1">
      <alignment horizontal="center" vertical="center"/>
    </xf>
    <xf numFmtId="165" fontId="7" fillId="3" borderId="41" xfId="0" applyNumberFormat="1" applyFont="1" applyFill="1" applyBorder="1" applyAlignment="1">
      <alignment horizontal="center" vertical="center"/>
    </xf>
    <xf numFmtId="2" fontId="7" fillId="3" borderId="45" xfId="0" applyNumberFormat="1" applyFont="1" applyFill="1" applyBorder="1" applyAlignment="1">
      <alignment horizontal="center" vertical="center"/>
    </xf>
    <xf numFmtId="0" fontId="8" fillId="3" borderId="50"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0" fillId="3" borderId="90" xfId="0" applyFont="1" applyFill="1" applyBorder="1" applyAlignment="1">
      <alignment horizontal="left" vertical="center" wrapText="1"/>
    </xf>
    <xf numFmtId="0" fontId="0" fillId="3" borderId="78" xfId="0" applyFont="1" applyFill="1" applyBorder="1" applyAlignment="1">
      <alignment horizontal="center" vertical="center" wrapText="1"/>
    </xf>
    <xf numFmtId="0" fontId="0" fillId="3" borderId="95" xfId="0" applyFont="1" applyFill="1" applyBorder="1" applyAlignment="1">
      <alignment horizontal="center" vertical="center" wrapText="1"/>
    </xf>
    <xf numFmtId="0" fontId="0" fillId="3" borderId="80" xfId="0" applyFont="1" applyFill="1" applyBorder="1" applyAlignment="1">
      <alignment horizontal="center" vertical="center" wrapText="1"/>
    </xf>
    <xf numFmtId="2" fontId="7" fillId="0" borderId="55" xfId="0" applyNumberFormat="1" applyFont="1" applyBorder="1" applyAlignment="1">
      <alignment horizontal="center" vertical="center"/>
    </xf>
    <xf numFmtId="2" fontId="7" fillId="0" borderId="83" xfId="0" applyNumberFormat="1" applyFont="1" applyBorder="1" applyAlignment="1">
      <alignment horizontal="center" vertical="center"/>
    </xf>
    <xf numFmtId="2" fontId="7" fillId="0" borderId="82" xfId="0" applyNumberFormat="1" applyFont="1" applyBorder="1" applyAlignment="1">
      <alignment horizontal="center" vertical="center"/>
    </xf>
    <xf numFmtId="0" fontId="8" fillId="2" borderId="1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82"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60"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8" fillId="2" borderId="21" xfId="0" applyFont="1" applyFill="1" applyBorder="1" applyAlignment="1">
      <alignment horizontal="center" vertical="center"/>
    </xf>
    <xf numFmtId="0" fontId="8" fillId="2" borderId="81" xfId="0" applyFont="1" applyFill="1" applyBorder="1" applyAlignment="1">
      <alignment horizontal="center" vertical="center" wrapText="1"/>
    </xf>
    <xf numFmtId="0" fontId="8" fillId="2" borderId="9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 fillId="15" borderId="51" xfId="0" applyFont="1" applyFill="1" applyBorder="1" applyAlignment="1">
      <alignment horizontal="center" wrapText="1"/>
    </xf>
    <xf numFmtId="0" fontId="1" fillId="15" borderId="63" xfId="0" applyFont="1" applyFill="1" applyBorder="1" applyAlignment="1">
      <alignment horizontal="center" wrapText="1"/>
    </xf>
    <xf numFmtId="0" fontId="1" fillId="15" borderId="52" xfId="0" applyFont="1" applyFill="1" applyBorder="1" applyAlignment="1">
      <alignment horizontal="center" wrapText="1"/>
    </xf>
    <xf numFmtId="0" fontId="1" fillId="13" borderId="33" xfId="0" applyFont="1" applyFill="1" applyBorder="1" applyAlignment="1">
      <alignment horizontal="center" vertical="center" wrapText="1"/>
    </xf>
    <xf numFmtId="0" fontId="1" fillId="13" borderId="27" xfId="0" applyFont="1" applyFill="1" applyBorder="1" applyAlignment="1">
      <alignment horizontal="center" vertical="center" wrapText="1"/>
    </xf>
    <xf numFmtId="0" fontId="1" fillId="13" borderId="39" xfId="0" applyFont="1" applyFill="1" applyBorder="1" applyAlignment="1">
      <alignment horizontal="center" vertical="center" wrapText="1"/>
    </xf>
    <xf numFmtId="0" fontId="1" fillId="13" borderId="6" xfId="0" applyFont="1" applyFill="1" applyBorder="1" applyAlignment="1">
      <alignment horizontal="center" vertical="center" wrapText="1"/>
    </xf>
    <xf numFmtId="0" fontId="1" fillId="13" borderId="5"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16" borderId="6" xfId="0" applyFont="1" applyFill="1" applyBorder="1" applyAlignment="1">
      <alignment horizontal="center" vertical="center" wrapText="1"/>
    </xf>
    <xf numFmtId="0" fontId="3" fillId="16" borderId="3" xfId="0" applyFont="1" applyFill="1" applyBorder="1" applyAlignment="1">
      <alignment horizontal="center" vertical="center" wrapText="1"/>
    </xf>
    <xf numFmtId="0" fontId="3" fillId="16" borderId="8" xfId="0" applyFont="1" applyFill="1" applyBorder="1" applyAlignment="1">
      <alignment horizontal="center" vertical="center" wrapText="1"/>
    </xf>
    <xf numFmtId="0" fontId="3" fillId="16" borderId="99" xfId="0" applyFont="1" applyFill="1" applyBorder="1" applyAlignment="1">
      <alignment horizontal="center" vertical="center" wrapText="1"/>
    </xf>
    <xf numFmtId="0" fontId="3" fillId="16" borderId="100" xfId="0" applyFont="1" applyFill="1" applyBorder="1" applyAlignment="1">
      <alignment horizontal="center" vertical="center" wrapText="1"/>
    </xf>
    <xf numFmtId="0" fontId="1" fillId="15" borderId="32" xfId="0" applyFont="1" applyFill="1" applyBorder="1" applyAlignment="1">
      <alignment horizontal="center"/>
    </xf>
    <xf numFmtId="0" fontId="1" fillId="15" borderId="96" xfId="0" applyFont="1" applyFill="1" applyBorder="1" applyAlignment="1">
      <alignment horizontal="center"/>
    </xf>
    <xf numFmtId="0" fontId="1" fillId="13" borderId="10" xfId="0" applyFont="1" applyFill="1" applyBorder="1" applyAlignment="1">
      <alignment horizontal="center"/>
    </xf>
    <xf numFmtId="0" fontId="1" fillId="13" borderId="97" xfId="0" applyFont="1" applyFill="1" applyBorder="1" applyAlignment="1">
      <alignment horizontal="center"/>
    </xf>
    <xf numFmtId="0" fontId="1" fillId="16" borderId="19" xfId="0" applyFont="1" applyFill="1" applyBorder="1" applyAlignment="1">
      <alignment horizontal="center"/>
    </xf>
    <xf numFmtId="0" fontId="1" fillId="16" borderId="97" xfId="0" applyFont="1" applyFill="1" applyBorder="1" applyAlignment="1">
      <alignment horizontal="center"/>
    </xf>
    <xf numFmtId="0" fontId="1" fillId="16" borderId="47" xfId="0" applyFont="1" applyFill="1" applyBorder="1" applyAlignment="1">
      <alignment horizontal="center"/>
    </xf>
    <xf numFmtId="0" fontId="36" fillId="13" borderId="26" xfId="0" applyFont="1" applyFill="1" applyBorder="1" applyAlignment="1">
      <alignment horizontal="center" vertical="center" wrapText="1"/>
    </xf>
    <xf numFmtId="0" fontId="36" fillId="13" borderId="27" xfId="0" applyFont="1" applyFill="1" applyBorder="1" applyAlignment="1">
      <alignment horizontal="center" vertical="center" wrapText="1"/>
    </xf>
    <xf numFmtId="0" fontId="36" fillId="13" borderId="2" xfId="0" applyFont="1" applyFill="1" applyBorder="1" applyAlignment="1">
      <alignment horizontal="center" vertical="center" wrapText="1"/>
    </xf>
    <xf numFmtId="0" fontId="36" fillId="13" borderId="5" xfId="0" applyFont="1" applyFill="1" applyBorder="1" applyAlignment="1">
      <alignment horizontal="center" vertical="center" wrapText="1"/>
    </xf>
    <xf numFmtId="0" fontId="36" fillId="13" borderId="42" xfId="0" applyFont="1" applyFill="1" applyBorder="1" applyAlignment="1">
      <alignment horizontal="center" vertical="center" wrapText="1"/>
    </xf>
    <xf numFmtId="0" fontId="36" fillId="13" borderId="1" xfId="0" applyFont="1" applyFill="1" applyBorder="1" applyAlignment="1">
      <alignment horizontal="center" vertical="center" wrapText="1"/>
    </xf>
    <xf numFmtId="0" fontId="36" fillId="13" borderId="17"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17" xfId="0" applyFont="1" applyFill="1" applyBorder="1" applyAlignment="1">
      <alignment horizontal="center" vertical="center" wrapText="1"/>
    </xf>
    <xf numFmtId="0" fontId="0" fillId="3" borderId="0" xfId="0" applyFill="1" applyAlignment="1">
      <alignment horizontal="left" wrapText="1"/>
    </xf>
    <xf numFmtId="0" fontId="0" fillId="3" borderId="59" xfId="0" applyFill="1" applyBorder="1" applyAlignment="1">
      <alignment horizontal="left" vertical="top" wrapText="1"/>
    </xf>
    <xf numFmtId="0" fontId="0" fillId="3" borderId="0" xfId="0" applyFill="1" applyBorder="1" applyAlignment="1">
      <alignment horizontal="left" vertical="top" wrapText="1"/>
    </xf>
    <xf numFmtId="0" fontId="0" fillId="3" borderId="12" xfId="0" applyFill="1" applyBorder="1" applyAlignment="1">
      <alignment horizontal="left" vertical="center" wrapText="1"/>
    </xf>
    <xf numFmtId="0" fontId="0" fillId="3" borderId="0" xfId="0"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center"/>
    </xf>
    <xf numFmtId="0" fontId="1" fillId="3" borderId="3" xfId="0"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0" fillId="3" borderId="8" xfId="0" applyFill="1" applyBorder="1" applyAlignment="1">
      <alignment horizontal="center"/>
    </xf>
    <xf numFmtId="0" fontId="1" fillId="3" borderId="4" xfId="0" applyFont="1" applyFill="1" applyBorder="1" applyAlignment="1">
      <alignment horizont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4" fillId="0" borderId="0" xfId="0" quotePrefix="1" applyFont="1" applyAlignment="1">
      <alignment horizontal="center"/>
    </xf>
  </cellXfs>
  <cellStyles count="3">
    <cellStyle name="Normal" xfId="0" builtinId="0"/>
    <cellStyle name="Normal 2" xfId="1" xr:uid="{BC27F4E2-20B8-47A4-9D90-F2F490171813}"/>
    <cellStyle name="Percent" xfId="2" builtinId="5"/>
  </cellStyles>
  <dxfs count="126">
    <dxf>
      <numFmt numFmtId="2" formatCode="0.00"/>
    </dxf>
    <dxf>
      <numFmt numFmtId="15" formatCode="0.00E+00"/>
    </dxf>
    <dxf>
      <numFmt numFmtId="2" formatCode="0.00"/>
    </dxf>
    <dxf>
      <numFmt numFmtId="15" formatCode="0.00E+00"/>
    </dxf>
    <dxf>
      <numFmt numFmtId="1" formatCode="0"/>
    </dxf>
    <dxf>
      <numFmt numFmtId="164" formatCode="0.0"/>
    </dxf>
    <dxf>
      <numFmt numFmtId="15" formatCode="0.00E+00"/>
    </dxf>
    <dxf>
      <numFmt numFmtId="1" formatCode="0"/>
    </dxf>
    <dxf>
      <numFmt numFmtId="164" formatCode="0.0"/>
    </dxf>
    <dxf>
      <numFmt numFmtId="15" formatCode="0.00E+00"/>
    </dxf>
    <dxf>
      <numFmt numFmtId="1" formatCode="0"/>
    </dxf>
    <dxf>
      <numFmt numFmtId="164" formatCode="0.0"/>
    </dxf>
    <dxf>
      <numFmt numFmtId="15" formatCode="0.00E+00"/>
    </dxf>
    <dxf>
      <numFmt numFmtId="1" formatCode="0"/>
    </dxf>
    <dxf>
      <numFmt numFmtId="164" formatCode="0.0"/>
    </dxf>
    <dxf>
      <numFmt numFmtId="15" formatCode="0.00E+00"/>
    </dxf>
    <dxf>
      <fill>
        <patternFill>
          <bgColor rgb="FF00B050"/>
        </patternFill>
      </fill>
    </dxf>
    <dxf>
      <fill>
        <patternFill>
          <bgColor theme="5"/>
        </patternFill>
      </fill>
    </dxf>
    <dxf>
      <numFmt numFmtId="1" formatCode="0"/>
    </dxf>
    <dxf>
      <numFmt numFmtId="170" formatCode="#,##0.0"/>
    </dxf>
    <dxf>
      <numFmt numFmtId="15" formatCode="0.00E+00"/>
    </dxf>
    <dxf>
      <fill>
        <patternFill>
          <bgColor theme="0"/>
        </patternFill>
      </fill>
    </dxf>
    <dxf>
      <font>
        <color theme="0"/>
      </font>
      <fill>
        <patternFill>
          <bgColor theme="0"/>
        </patternFill>
      </fill>
    </dxf>
    <dxf>
      <numFmt numFmtId="1" formatCode="0"/>
    </dxf>
    <dxf>
      <numFmt numFmtId="170" formatCode="#,##0.0"/>
    </dxf>
    <dxf>
      <numFmt numFmtId="15" formatCode="0.00E+00"/>
    </dxf>
    <dxf>
      <fill>
        <patternFill>
          <bgColor theme="0"/>
        </patternFill>
      </fill>
    </dxf>
    <dxf>
      <font>
        <color theme="0"/>
      </font>
      <fill>
        <patternFill>
          <bgColor theme="0"/>
        </patternFill>
      </fill>
    </dxf>
    <dxf>
      <fill>
        <patternFill>
          <bgColor rgb="FF00B050"/>
        </patternFill>
      </fill>
    </dxf>
    <dxf>
      <fill>
        <patternFill>
          <bgColor theme="5"/>
        </patternFill>
      </fill>
    </dxf>
    <dxf>
      <fill>
        <patternFill>
          <bgColor rgb="FF00B050"/>
        </patternFill>
      </fill>
    </dxf>
    <dxf>
      <fill>
        <patternFill>
          <bgColor theme="5"/>
        </patternFill>
      </fill>
    </dxf>
    <dxf>
      <numFmt numFmtId="1" formatCode="0"/>
    </dxf>
    <dxf>
      <numFmt numFmtId="170" formatCode="#,##0.0"/>
    </dxf>
    <dxf>
      <numFmt numFmtId="15" formatCode="0.00E+00"/>
    </dxf>
    <dxf>
      <fill>
        <patternFill>
          <bgColor theme="0"/>
        </patternFill>
      </fill>
    </dxf>
    <dxf>
      <font>
        <color theme="0"/>
      </font>
      <fill>
        <patternFill>
          <bgColor theme="0"/>
        </patternFill>
      </fill>
    </dxf>
    <dxf>
      <fill>
        <patternFill>
          <bgColor rgb="FF00B050"/>
        </patternFill>
      </fill>
    </dxf>
    <dxf>
      <fill>
        <patternFill>
          <bgColor theme="5"/>
        </patternFill>
      </fill>
    </dxf>
    <dxf>
      <fill>
        <patternFill>
          <bgColor rgb="FF00B050"/>
        </patternFill>
      </fill>
    </dxf>
    <dxf>
      <fill>
        <patternFill>
          <bgColor theme="5"/>
        </patternFill>
      </fill>
    </dxf>
    <dxf>
      <numFmt numFmtId="1" formatCode="0"/>
    </dxf>
    <dxf>
      <numFmt numFmtId="170" formatCode="#,##0.0"/>
    </dxf>
    <dxf>
      <numFmt numFmtId="15" formatCode="0.00E+00"/>
    </dxf>
    <dxf>
      <fill>
        <patternFill>
          <bgColor theme="0"/>
        </patternFill>
      </fill>
    </dxf>
    <dxf>
      <font>
        <color theme="0"/>
      </font>
      <fill>
        <patternFill>
          <bgColor theme="0"/>
        </patternFill>
      </fill>
    </dxf>
    <dxf>
      <fill>
        <patternFill>
          <bgColor rgb="FF00B050"/>
        </patternFill>
      </fill>
    </dxf>
    <dxf>
      <fill>
        <patternFill>
          <bgColor theme="5"/>
        </patternFill>
      </fill>
    </dxf>
    <dxf>
      <fill>
        <patternFill>
          <bgColor rgb="FF00B050"/>
        </patternFill>
      </fill>
    </dxf>
    <dxf>
      <fill>
        <patternFill>
          <bgColor theme="5"/>
        </patternFill>
      </fill>
    </dxf>
    <dxf>
      <fill>
        <patternFill>
          <bgColor rgb="FF00B050"/>
        </patternFill>
      </fill>
    </dxf>
    <dxf>
      <fill>
        <patternFill>
          <bgColor theme="5"/>
        </patternFill>
      </fill>
    </dxf>
    <dxf>
      <numFmt numFmtId="3" formatCode="#,##0"/>
    </dxf>
    <dxf>
      <numFmt numFmtId="164" formatCode="0.0"/>
    </dxf>
    <dxf>
      <numFmt numFmtId="15" formatCode="0.00E+00"/>
    </dxf>
    <dxf>
      <fill>
        <patternFill>
          <bgColor theme="0"/>
        </patternFill>
      </fill>
    </dxf>
    <dxf>
      <font>
        <color theme="0"/>
      </font>
      <fill>
        <patternFill>
          <bgColor theme="0"/>
        </patternFill>
      </fill>
    </dxf>
    <dxf>
      <fill>
        <patternFill>
          <bgColor theme="5"/>
        </patternFill>
      </fill>
    </dxf>
    <dxf>
      <fill>
        <patternFill>
          <bgColor rgb="FF00B050"/>
        </patternFill>
      </fill>
    </dxf>
    <dxf>
      <numFmt numFmtId="3" formatCode="#,##0"/>
    </dxf>
    <dxf>
      <numFmt numFmtId="164" formatCode="0.0"/>
    </dxf>
    <dxf>
      <numFmt numFmtId="15" formatCode="0.00E+00"/>
    </dxf>
    <dxf>
      <fill>
        <patternFill>
          <bgColor theme="0"/>
        </patternFill>
      </fill>
    </dxf>
    <dxf>
      <font>
        <color theme="0"/>
      </font>
      <fill>
        <patternFill>
          <bgColor theme="0"/>
        </patternFill>
      </fill>
    </dxf>
    <dxf>
      <fill>
        <patternFill>
          <bgColor theme="5"/>
        </patternFill>
      </fill>
    </dxf>
    <dxf>
      <fill>
        <patternFill>
          <bgColor rgb="FF00B050"/>
        </patternFill>
      </fill>
    </dxf>
    <dxf>
      <fill>
        <patternFill>
          <bgColor theme="5"/>
        </patternFill>
      </fill>
    </dxf>
    <dxf>
      <fill>
        <patternFill>
          <bgColor rgb="FF00B050"/>
        </patternFill>
      </fill>
    </dxf>
    <dxf>
      <numFmt numFmtId="3" formatCode="#,##0"/>
    </dxf>
    <dxf>
      <numFmt numFmtId="164" formatCode="0.0"/>
    </dxf>
    <dxf>
      <numFmt numFmtId="15" formatCode="0.00E+00"/>
    </dxf>
    <dxf>
      <fill>
        <patternFill>
          <bgColor theme="0"/>
        </patternFill>
      </fill>
    </dxf>
    <dxf>
      <font>
        <color theme="0"/>
      </font>
      <fill>
        <patternFill>
          <bgColor theme="0"/>
        </patternFill>
      </fill>
    </dxf>
    <dxf>
      <fill>
        <patternFill>
          <bgColor theme="5"/>
        </patternFill>
      </fill>
    </dxf>
    <dxf>
      <fill>
        <patternFill>
          <bgColor rgb="FF00B050"/>
        </patternFill>
      </fill>
    </dxf>
    <dxf>
      <numFmt numFmtId="3" formatCode="#,##0"/>
    </dxf>
    <dxf>
      <numFmt numFmtId="164" formatCode="0.0"/>
    </dxf>
    <dxf>
      <numFmt numFmtId="15" formatCode="0.00E+00"/>
    </dxf>
    <dxf>
      <fill>
        <patternFill>
          <bgColor theme="0"/>
        </patternFill>
      </fill>
    </dxf>
    <dxf>
      <font>
        <color theme="0"/>
      </font>
      <fill>
        <patternFill>
          <bgColor theme="0"/>
        </patternFill>
      </fill>
    </dxf>
    <dxf>
      <numFmt numFmtId="3" formatCode="#,##0"/>
    </dxf>
    <dxf>
      <numFmt numFmtId="164" formatCode="0.0"/>
    </dxf>
    <dxf>
      <numFmt numFmtId="15" formatCode="0.00E+00"/>
    </dxf>
    <dxf>
      <fill>
        <patternFill>
          <bgColor theme="0"/>
        </patternFill>
      </fill>
    </dxf>
    <dxf>
      <font>
        <color theme="0"/>
      </font>
      <fill>
        <patternFill>
          <bgColor theme="0"/>
        </patternFill>
      </fill>
    </dxf>
    <dxf>
      <fill>
        <patternFill>
          <bgColor theme="5"/>
        </patternFill>
      </fill>
    </dxf>
    <dxf>
      <fill>
        <patternFill>
          <bgColor rgb="FF00B050"/>
        </patternFill>
      </fill>
    </dxf>
    <dxf>
      <fill>
        <patternFill>
          <bgColor theme="5"/>
        </patternFill>
      </fill>
    </dxf>
    <dxf>
      <fill>
        <patternFill>
          <bgColor rgb="FF00B050"/>
        </patternFill>
      </fill>
    </dxf>
    <dxf>
      <numFmt numFmtId="3" formatCode="#,##0"/>
    </dxf>
    <dxf>
      <numFmt numFmtId="164" formatCode="0.0"/>
    </dxf>
    <dxf>
      <numFmt numFmtId="15" formatCode="0.00E+00"/>
    </dxf>
    <dxf>
      <fill>
        <patternFill>
          <bgColor theme="0"/>
        </patternFill>
      </fill>
    </dxf>
    <dxf>
      <font>
        <color theme="0"/>
      </font>
      <fill>
        <patternFill>
          <bgColor theme="0"/>
        </patternFill>
      </fill>
    </dxf>
    <dxf>
      <fill>
        <patternFill>
          <bgColor theme="5"/>
        </patternFill>
      </fill>
    </dxf>
    <dxf>
      <fill>
        <patternFill>
          <bgColor rgb="FF00B050"/>
        </patternFill>
      </fill>
    </dxf>
    <dxf>
      <fill>
        <patternFill>
          <bgColor theme="5"/>
        </patternFill>
      </fill>
    </dxf>
    <dxf>
      <fill>
        <patternFill>
          <bgColor rgb="FF00B050"/>
        </patternFill>
      </fill>
    </dxf>
    <dxf>
      <fill>
        <patternFill>
          <bgColor theme="5"/>
        </patternFill>
      </fill>
    </dxf>
    <dxf>
      <fill>
        <patternFill>
          <bgColor rgb="FF00B050"/>
        </patternFill>
      </fill>
    </dxf>
    <dxf>
      <fill>
        <patternFill>
          <bgColor theme="5"/>
        </patternFill>
      </fill>
    </dxf>
    <dxf>
      <fill>
        <patternFill>
          <bgColor theme="9"/>
        </patternFill>
      </fill>
    </dxf>
    <dxf>
      <fill>
        <patternFill>
          <bgColor rgb="FFFFC000"/>
        </patternFill>
      </fill>
    </dxf>
    <dxf>
      <fill>
        <patternFill>
          <bgColor rgb="FF00B050"/>
        </patternFill>
      </fill>
    </dxf>
    <dxf>
      <fill>
        <patternFill>
          <bgColor theme="5"/>
        </patternFill>
      </fill>
    </dxf>
    <dxf>
      <fill>
        <patternFill>
          <bgColor theme="9"/>
        </patternFill>
      </fill>
    </dxf>
    <dxf>
      <fill>
        <patternFill>
          <bgColor rgb="FFFFC000"/>
        </patternFill>
      </fill>
    </dxf>
    <dxf>
      <fill>
        <patternFill>
          <bgColor rgb="FF00B050"/>
        </patternFill>
      </fill>
    </dxf>
    <dxf>
      <fill>
        <patternFill>
          <bgColor theme="5"/>
        </patternFill>
      </fill>
    </dxf>
    <dxf>
      <fill>
        <patternFill>
          <bgColor theme="9"/>
        </patternFill>
      </fill>
    </dxf>
    <dxf>
      <fill>
        <patternFill>
          <bgColor rgb="FFFFC000"/>
        </patternFill>
      </fill>
    </dxf>
    <dxf>
      <fill>
        <patternFill>
          <bgColor rgb="FF00B050"/>
        </patternFill>
      </fill>
    </dxf>
    <dxf>
      <fill>
        <patternFill>
          <bgColor theme="5"/>
        </patternFill>
      </fill>
    </dxf>
    <dxf>
      <fill>
        <patternFill>
          <bgColor theme="9"/>
        </patternFill>
      </fill>
    </dxf>
    <dxf>
      <fill>
        <patternFill>
          <bgColor rgb="FFFFC000"/>
        </patternFill>
      </fill>
    </dxf>
    <dxf>
      <fill>
        <patternFill>
          <bgColor rgb="FF00B050"/>
        </patternFill>
      </fill>
    </dxf>
    <dxf>
      <fill>
        <patternFill>
          <bgColor theme="5"/>
        </patternFill>
      </fill>
    </dxf>
    <dxf>
      <fill>
        <patternFill>
          <bgColor theme="9"/>
        </patternFill>
      </fill>
    </dxf>
    <dxf>
      <fill>
        <patternFill>
          <bgColor rgb="FFFFC000"/>
        </patternFill>
      </fill>
    </dxf>
    <dxf>
      <fill>
        <patternFill>
          <bgColor rgb="FF00B050"/>
        </patternFill>
      </fill>
    </dxf>
    <dxf>
      <fill>
        <patternFill>
          <bgColor theme="5"/>
        </patternFill>
      </fill>
    </dxf>
    <dxf>
      <fill>
        <patternFill>
          <bgColor rgb="FF00B050"/>
        </patternFill>
      </fill>
    </dxf>
    <dxf>
      <fill>
        <patternFill>
          <bgColor theme="5"/>
        </patternFill>
      </fill>
    </dxf>
    <dxf>
      <fill>
        <patternFill>
          <bgColor rgb="FF00B050"/>
        </patternFill>
      </fill>
    </dxf>
    <dxf>
      <fill>
        <patternFill>
          <bgColor theme="0"/>
        </patternFill>
      </fill>
    </dxf>
    <dxf>
      <font>
        <color theme="0"/>
      </font>
      <fill>
        <patternFill>
          <bgColor theme="0"/>
        </patternFill>
      </fill>
    </dxf>
  </dxfs>
  <tableStyles count="0" defaultTableStyle="TableStyleMedium2" defaultPivotStyle="PivotStyleLight16"/>
  <colors>
    <mruColors>
      <color rgb="FFF15A2B"/>
      <color rgb="FFF04B18"/>
      <color rgb="FFD43D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Dashboard!$C$114</c:f>
          <c:strCache>
            <c:ptCount val="1"/>
            <c:pt idx="0">
              <c:v>Inhalation Cancer Risk Estimates</c:v>
            </c:pt>
          </c:strCache>
        </c:strRef>
      </c:tx>
      <c:layout>
        <c:manualLayout>
          <c:xMode val="edge"/>
          <c:yMode val="edge"/>
          <c:x val="0.35379421156466734"/>
          <c:y val="5.11888663077683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9150842647774607"/>
          <c:y val="0.21054931230848406"/>
          <c:w val="0.57646326211389221"/>
          <c:h val="0.58920985270720716"/>
        </c:manualLayout>
      </c:layout>
      <c:barChart>
        <c:barDir val="bar"/>
        <c:grouping val="stacked"/>
        <c:varyColors val="0"/>
        <c:ser>
          <c:idx val="4"/>
          <c:order val="0"/>
          <c:tx>
            <c:strRef>
              <c:f>Dashboard!$E$114</c:f>
              <c:strCache>
                <c:ptCount val="1"/>
                <c:pt idx="0">
                  <c:v>Cancer Risk with APF of 25</c:v>
                </c:pt>
              </c:strCache>
            </c:strRef>
          </c:tx>
          <c:spPr>
            <a:solidFill>
              <a:schemeClr val="accent5"/>
            </a:solidFill>
            <a:ln>
              <a:noFill/>
            </a:ln>
            <a:effectLst/>
          </c:spPr>
          <c:invertIfNegative val="0"/>
          <c:cat>
            <c:strRef>
              <c:f>Dashboard!$C$115:$C$118</c:f>
              <c:strCache>
                <c:ptCount val="4"/>
                <c:pt idx="0">
                  <c:v>ONU: 50th Percentile</c:v>
                </c:pt>
                <c:pt idx="1">
                  <c:v>ONU: 95th Percentile</c:v>
                </c:pt>
                <c:pt idx="2">
                  <c:v>Worker: 50th Percentile</c:v>
                </c:pt>
                <c:pt idx="3">
                  <c:v>Worker: 95th Percentile</c:v>
                </c:pt>
              </c:strCache>
            </c:strRef>
          </c:cat>
          <c:val>
            <c:numRef>
              <c:f>Dashboard!$E$115:$E$118</c:f>
              <c:numCache>
                <c:formatCode>0.00E+00</c:formatCode>
                <c:ptCount val="4"/>
                <c:pt idx="0">
                  <c:v>0</c:v>
                </c:pt>
                <c:pt idx="1">
                  <c:v>0</c:v>
                </c:pt>
                <c:pt idx="2">
                  <c:v>2.3592085235920852E-7</c:v>
                </c:pt>
                <c:pt idx="3">
                  <c:v>2.4931272684697334E-5</c:v>
                </c:pt>
              </c:numCache>
            </c:numRef>
          </c:val>
          <c:extLst>
            <c:ext xmlns:c16="http://schemas.microsoft.com/office/drawing/2014/chart" uri="{C3380CC4-5D6E-409C-BE32-E72D297353CC}">
              <c16:uniqueId val="{00000008-6D0D-4AA3-910B-0012314B3634}"/>
            </c:ext>
          </c:extLst>
        </c:ser>
        <c:ser>
          <c:idx val="0"/>
          <c:order val="1"/>
          <c:tx>
            <c:strRef>
              <c:f>Dashboard!$D$114</c:f>
              <c:strCache>
                <c:ptCount val="1"/>
                <c:pt idx="0">
                  <c:v>Cancer Risk</c:v>
                </c:pt>
              </c:strCache>
            </c:strRef>
          </c:tx>
          <c:spPr>
            <a:solidFill>
              <a:schemeClr val="accent5">
                <a:lumMod val="75000"/>
              </a:schemeClr>
            </a:solidFill>
            <a:ln>
              <a:noFill/>
            </a:ln>
            <a:effectLst/>
          </c:spPr>
          <c:invertIfNegative val="0"/>
          <c:dPt>
            <c:idx val="0"/>
            <c:invertIfNegative val="0"/>
            <c:bubble3D val="0"/>
            <c:spPr>
              <a:solidFill>
                <a:schemeClr val="accent5">
                  <a:lumMod val="75000"/>
                </a:schemeClr>
              </a:solidFill>
              <a:ln>
                <a:noFill/>
              </a:ln>
              <a:effectLst/>
            </c:spPr>
            <c:extLst>
              <c:ext xmlns:c16="http://schemas.microsoft.com/office/drawing/2014/chart" uri="{C3380CC4-5D6E-409C-BE32-E72D297353CC}">
                <c16:uniqueId val="{00000001-6A9D-47DB-A79F-FB92EECBB895}"/>
              </c:ext>
            </c:extLst>
          </c:dPt>
          <c:dPt>
            <c:idx val="1"/>
            <c:invertIfNegative val="0"/>
            <c:bubble3D val="0"/>
            <c:spPr>
              <a:solidFill>
                <a:schemeClr val="accent5">
                  <a:lumMod val="75000"/>
                </a:schemeClr>
              </a:solidFill>
              <a:ln>
                <a:noFill/>
              </a:ln>
              <a:effectLst/>
            </c:spPr>
            <c:extLst>
              <c:ext xmlns:c16="http://schemas.microsoft.com/office/drawing/2014/chart" uri="{C3380CC4-5D6E-409C-BE32-E72D297353CC}">
                <c16:uniqueId val="{00000003-6A9D-47DB-A79F-FB92EECBB895}"/>
              </c:ext>
            </c:extLst>
          </c:dPt>
          <c:dPt>
            <c:idx val="2"/>
            <c:invertIfNegative val="0"/>
            <c:bubble3D val="0"/>
            <c:spPr>
              <a:solidFill>
                <a:schemeClr val="accent5">
                  <a:lumMod val="75000"/>
                </a:schemeClr>
              </a:solidFill>
              <a:ln>
                <a:noFill/>
              </a:ln>
              <a:effectLst/>
            </c:spPr>
            <c:extLst>
              <c:ext xmlns:c16="http://schemas.microsoft.com/office/drawing/2014/chart" uri="{C3380CC4-5D6E-409C-BE32-E72D297353CC}">
                <c16:uniqueId val="{00000005-6A9D-47DB-A79F-FB92EECBB895}"/>
              </c:ext>
            </c:extLst>
          </c:dPt>
          <c:dPt>
            <c:idx val="3"/>
            <c:invertIfNegative val="0"/>
            <c:bubble3D val="0"/>
            <c:spPr>
              <a:solidFill>
                <a:schemeClr val="accent5">
                  <a:lumMod val="75000"/>
                </a:schemeClr>
              </a:solidFill>
              <a:ln>
                <a:noFill/>
              </a:ln>
              <a:effectLst/>
            </c:spPr>
            <c:extLst>
              <c:ext xmlns:c16="http://schemas.microsoft.com/office/drawing/2014/chart" uri="{C3380CC4-5D6E-409C-BE32-E72D297353CC}">
                <c16:uniqueId val="{00000007-6A9D-47DB-A79F-FB92EECBB895}"/>
              </c:ext>
            </c:extLst>
          </c:dPt>
          <c:cat>
            <c:strRef>
              <c:f>Dashboard!$C$115:$C$118</c:f>
              <c:strCache>
                <c:ptCount val="4"/>
                <c:pt idx="0">
                  <c:v>ONU: 50th Percentile</c:v>
                </c:pt>
                <c:pt idx="1">
                  <c:v>ONU: 95th Percentile</c:v>
                </c:pt>
                <c:pt idx="2">
                  <c:v>Worker: 50th Percentile</c:v>
                </c:pt>
                <c:pt idx="3">
                  <c:v>Worker: 95th Percentile</c:v>
                </c:pt>
              </c:strCache>
            </c:strRef>
          </c:cat>
          <c:val>
            <c:numRef>
              <c:f>Dashboard!$D$115:$D$118</c:f>
              <c:numCache>
                <c:formatCode>0.00E+00</c:formatCode>
                <c:ptCount val="4"/>
                <c:pt idx="0">
                  <c:v>6.1595532748248601E-6</c:v>
                </c:pt>
                <c:pt idx="1">
                  <c:v>2.1484603676384498E-5</c:v>
                </c:pt>
                <c:pt idx="2">
                  <c:v>5.8980213089802127E-6</c:v>
                </c:pt>
                <c:pt idx="3">
                  <c:v>6.2328181711743334E-4</c:v>
                </c:pt>
              </c:numCache>
            </c:numRef>
          </c:val>
          <c:extLst>
            <c:ext xmlns:c16="http://schemas.microsoft.com/office/drawing/2014/chart" uri="{C3380CC4-5D6E-409C-BE32-E72D297353CC}">
              <c16:uniqueId val="{00000008-6A9D-47DB-A79F-FB92EECBB895}"/>
            </c:ext>
          </c:extLst>
        </c:ser>
        <c:dLbls>
          <c:showLegendKey val="0"/>
          <c:showVal val="0"/>
          <c:showCatName val="0"/>
          <c:showSerName val="0"/>
          <c:showPercent val="0"/>
          <c:showBubbleSize val="0"/>
        </c:dLbls>
        <c:gapWidth val="150"/>
        <c:overlap val="100"/>
        <c:axId val="580062808"/>
        <c:axId val="580066744"/>
      </c:barChart>
      <c:scatterChart>
        <c:scatterStyle val="lineMarker"/>
        <c:varyColors val="0"/>
        <c:ser>
          <c:idx val="1"/>
          <c:order val="2"/>
          <c:tx>
            <c:v>1.00E-06</c:v>
          </c:tx>
          <c:spPr>
            <a:ln w="28575" cap="rnd">
              <a:solidFill>
                <a:srgbClr val="FF0000"/>
              </a:solidFill>
              <a:round/>
            </a:ln>
            <a:effectLst/>
          </c:spPr>
          <c:marker>
            <c:symbol val="none"/>
          </c:marker>
          <c:xVal>
            <c:numLit>
              <c:formatCode>General</c:formatCode>
              <c:ptCount val="6"/>
              <c:pt idx="0">
                <c:v>9.9999999999999995E-7</c:v>
              </c:pt>
              <c:pt idx="1">
                <c:v>9.9999999999999995E-7</c:v>
              </c:pt>
              <c:pt idx="2">
                <c:v>9.9999999999999995E-7</c:v>
              </c:pt>
              <c:pt idx="3">
                <c:v>9.9999999999999995E-7</c:v>
              </c:pt>
              <c:pt idx="4">
                <c:v>9.9999999999999995E-7</c:v>
              </c:pt>
              <c:pt idx="5">
                <c:v>9.9999999999999995E-7</c:v>
              </c:pt>
            </c:numLit>
          </c:xVal>
          <c:yVal>
            <c:numLit>
              <c:formatCode>General</c:formatCode>
              <c:ptCount val="6"/>
              <c:pt idx="0">
                <c:v>7</c:v>
              </c:pt>
              <c:pt idx="1">
                <c:v>5</c:v>
              </c:pt>
              <c:pt idx="2">
                <c:v>4</c:v>
              </c:pt>
              <c:pt idx="3">
                <c:v>3</c:v>
              </c:pt>
              <c:pt idx="4">
                <c:v>2</c:v>
              </c:pt>
              <c:pt idx="5">
                <c:v>0</c:v>
              </c:pt>
            </c:numLit>
          </c:yVal>
          <c:smooth val="0"/>
          <c:extLst>
            <c:ext xmlns:c16="http://schemas.microsoft.com/office/drawing/2014/chart" uri="{C3380CC4-5D6E-409C-BE32-E72D297353CC}">
              <c16:uniqueId val="{00000009-6A9D-47DB-A79F-FB92EECBB895}"/>
            </c:ext>
          </c:extLst>
        </c:ser>
        <c:ser>
          <c:idx val="2"/>
          <c:order val="3"/>
          <c:tx>
            <c:v>1.00E-05</c:v>
          </c:tx>
          <c:spPr>
            <a:ln w="28575" cap="rnd">
              <a:solidFill>
                <a:srgbClr val="FF0000"/>
              </a:solidFill>
              <a:round/>
            </a:ln>
            <a:effectLst/>
          </c:spPr>
          <c:marker>
            <c:symbol val="none"/>
          </c:marker>
          <c:xVal>
            <c:numLit>
              <c:formatCode>General</c:formatCode>
              <c:ptCount val="6"/>
              <c:pt idx="0">
                <c:v>1.0000000000000001E-5</c:v>
              </c:pt>
              <c:pt idx="1">
                <c:v>1.0000000000000001E-5</c:v>
              </c:pt>
              <c:pt idx="2">
                <c:v>1.0000000000000001E-5</c:v>
              </c:pt>
              <c:pt idx="3">
                <c:v>1.0000000000000001E-5</c:v>
              </c:pt>
              <c:pt idx="4">
                <c:v>1.0000000000000001E-5</c:v>
              </c:pt>
              <c:pt idx="5">
                <c:v>1.0000000000000001E-5</c:v>
              </c:pt>
            </c:numLit>
          </c:xVal>
          <c:yVal>
            <c:numLit>
              <c:formatCode>General</c:formatCode>
              <c:ptCount val="6"/>
              <c:pt idx="0">
                <c:v>7</c:v>
              </c:pt>
              <c:pt idx="1">
                <c:v>5</c:v>
              </c:pt>
              <c:pt idx="2">
                <c:v>4</c:v>
              </c:pt>
              <c:pt idx="3">
                <c:v>3</c:v>
              </c:pt>
              <c:pt idx="4">
                <c:v>2</c:v>
              </c:pt>
              <c:pt idx="5">
                <c:v>0</c:v>
              </c:pt>
            </c:numLit>
          </c:yVal>
          <c:smooth val="0"/>
          <c:extLst>
            <c:ext xmlns:c16="http://schemas.microsoft.com/office/drawing/2014/chart" uri="{C3380CC4-5D6E-409C-BE32-E72D297353CC}">
              <c16:uniqueId val="{0000000A-6A9D-47DB-A79F-FB92EECBB895}"/>
            </c:ext>
          </c:extLst>
        </c:ser>
        <c:ser>
          <c:idx val="3"/>
          <c:order val="4"/>
          <c:tx>
            <c:v>1.00E-04</c:v>
          </c:tx>
          <c:spPr>
            <a:ln w="28575" cap="rnd">
              <a:solidFill>
                <a:srgbClr val="FF0000"/>
              </a:solidFill>
              <a:round/>
            </a:ln>
            <a:effectLst/>
          </c:spPr>
          <c:marker>
            <c:symbol val="none"/>
          </c:marker>
          <c:xVal>
            <c:numLit>
              <c:formatCode>General</c:formatCode>
              <c:ptCount val="6"/>
              <c:pt idx="0">
                <c:v>1E-4</c:v>
              </c:pt>
              <c:pt idx="1">
                <c:v>1E-4</c:v>
              </c:pt>
              <c:pt idx="2">
                <c:v>1E-4</c:v>
              </c:pt>
              <c:pt idx="3">
                <c:v>1E-4</c:v>
              </c:pt>
              <c:pt idx="4">
                <c:v>1E-4</c:v>
              </c:pt>
              <c:pt idx="5">
                <c:v>1E-4</c:v>
              </c:pt>
            </c:numLit>
          </c:xVal>
          <c:yVal>
            <c:numLit>
              <c:formatCode>General</c:formatCode>
              <c:ptCount val="6"/>
              <c:pt idx="0">
                <c:v>7</c:v>
              </c:pt>
              <c:pt idx="1">
                <c:v>5</c:v>
              </c:pt>
              <c:pt idx="2">
                <c:v>4</c:v>
              </c:pt>
              <c:pt idx="3">
                <c:v>3</c:v>
              </c:pt>
              <c:pt idx="4">
                <c:v>2</c:v>
              </c:pt>
              <c:pt idx="5">
                <c:v>0</c:v>
              </c:pt>
            </c:numLit>
          </c:yVal>
          <c:smooth val="0"/>
          <c:extLst>
            <c:ext xmlns:c16="http://schemas.microsoft.com/office/drawing/2014/chart" uri="{C3380CC4-5D6E-409C-BE32-E72D297353CC}">
              <c16:uniqueId val="{0000000B-6A9D-47DB-A79F-FB92EECBB895}"/>
            </c:ext>
          </c:extLst>
        </c:ser>
        <c:dLbls>
          <c:showLegendKey val="0"/>
          <c:showVal val="0"/>
          <c:showCatName val="0"/>
          <c:showSerName val="0"/>
          <c:showPercent val="0"/>
          <c:showBubbleSize val="0"/>
        </c:dLbls>
        <c:axId val="599810312"/>
        <c:axId val="599814248"/>
      </c:scatterChart>
      <c:catAx>
        <c:axId val="58006280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0066744"/>
        <c:crosses val="autoZero"/>
        <c:auto val="1"/>
        <c:lblAlgn val="ctr"/>
        <c:lblOffset val="100"/>
        <c:noMultiLvlLbl val="0"/>
      </c:catAx>
      <c:valAx>
        <c:axId val="580066744"/>
        <c:scaling>
          <c:logBase val="10"/>
          <c:orientation val="minMax"/>
          <c:min val="1.0000000000000005E-7"/>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Excess Cancer Risk</a:t>
                </a:r>
              </a:p>
            </c:rich>
          </c:tx>
          <c:layout>
            <c:manualLayout>
              <c:xMode val="edge"/>
              <c:yMode val="edge"/>
              <c:x val="0.36584643797039879"/>
              <c:y val="0.9103309379643723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E+0" sourceLinked="0"/>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0062808"/>
        <c:crosses val="autoZero"/>
        <c:crossBetween val="between"/>
      </c:valAx>
      <c:valAx>
        <c:axId val="599814248"/>
        <c:scaling>
          <c:orientation val="minMax"/>
          <c:max val="7"/>
        </c:scaling>
        <c:delete val="1"/>
        <c:axPos val="l"/>
        <c:numFmt formatCode="General" sourceLinked="1"/>
        <c:majorTickMark val="out"/>
        <c:minorTickMark val="none"/>
        <c:tickLblPos val="nextTo"/>
        <c:crossAx val="599810312"/>
        <c:crosses val="autoZero"/>
        <c:crossBetween val="midCat"/>
      </c:valAx>
      <c:valAx>
        <c:axId val="599810312"/>
        <c:scaling>
          <c:logBase val="10"/>
          <c:orientation val="minMax"/>
          <c:max val="1"/>
          <c:min val="1.0000000000000005E-7"/>
        </c:scaling>
        <c:delete val="0"/>
        <c:axPos val="t"/>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599814248"/>
        <c:crosses val="max"/>
        <c:crossBetween val="midCat"/>
      </c:valAx>
      <c:spPr>
        <a:noFill/>
        <a:ln>
          <a:solidFill>
            <a:sysClr val="windowText" lastClr="000000"/>
          </a:solidFill>
        </a:ln>
        <a:effectLst/>
      </c:spPr>
    </c:plotArea>
    <c:legend>
      <c:legendPos val="r"/>
      <c:legendEntry>
        <c:idx val="2"/>
        <c:delete val="1"/>
      </c:legendEntry>
      <c:legendEntry>
        <c:idx val="3"/>
        <c:delete val="1"/>
      </c:legendEntry>
      <c:legendEntry>
        <c:idx val="4"/>
        <c:delete val="1"/>
      </c:legendEntry>
      <c:layout>
        <c:manualLayout>
          <c:xMode val="edge"/>
          <c:yMode val="edge"/>
          <c:x val="0.78144800973247541"/>
          <c:y val="0.48592904914666896"/>
          <c:w val="0.20873604061175266"/>
          <c:h val="0.1010115760437011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"Dermal Cancer Risk Estimates"</c:f>
          <c:strCache>
            <c:ptCount val="1"/>
            <c:pt idx="0">
              <c:v>Dermal Cancer Risk Estimates</c:v>
            </c:pt>
          </c:strCache>
        </c:strRef>
      </c:tx>
      <c:layout>
        <c:manualLayout>
          <c:xMode val="edge"/>
          <c:yMode val="edge"/>
          <c:x val="0.36062458254174651"/>
          <c:y val="3.74142531318897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4201544053601726"/>
          <c:y val="0.21054931230848406"/>
          <c:w val="0.59535948857066312"/>
          <c:h val="0.64409953815536147"/>
        </c:manualLayout>
      </c:layout>
      <c:barChart>
        <c:barDir val="bar"/>
        <c:grouping val="stacked"/>
        <c:varyColors val="0"/>
        <c:ser>
          <c:idx val="4"/>
          <c:order val="0"/>
          <c:tx>
            <c:strRef>
              <c:f>Dashboard!$O$112</c:f>
              <c:strCache>
                <c:ptCount val="1"/>
                <c:pt idx="0">
                  <c:v>High End</c:v>
                </c:pt>
              </c:strCache>
            </c:strRef>
          </c:tx>
          <c:spPr>
            <a:solidFill>
              <a:schemeClr val="accent5"/>
            </a:solidFill>
            <a:ln>
              <a:noFill/>
            </a:ln>
            <a:effectLst/>
          </c:spPr>
          <c:invertIfNegative val="0"/>
          <c:cat>
            <c:strLit>
              <c:ptCount val="3"/>
              <c:pt idx="0">
                <c:v>No Gloves</c:v>
              </c:pt>
              <c:pt idx="1">
                <c:v>Gloves: 10</c:v>
              </c:pt>
              <c:pt idx="2">
                <c:v>Occluded Exposure</c:v>
              </c:pt>
            </c:strLit>
          </c:cat>
          <c:val>
            <c:numRef>
              <c:f>Dashboard!$O$113:$O$115</c:f>
              <c:numCache>
                <c:formatCode>0.00E+00</c:formatCode>
                <c:ptCount val="3"/>
                <c:pt idx="0">
                  <c:v>2.4808794164335752E-3</c:v>
                </c:pt>
                <c:pt idx="1">
                  <c:v>4.96175883286715E-4</c:v>
                </c:pt>
                <c:pt idx="2">
                  <c:v>0</c:v>
                </c:pt>
              </c:numCache>
            </c:numRef>
          </c:val>
          <c:extLst>
            <c:ext xmlns:c16="http://schemas.microsoft.com/office/drawing/2014/chart" uri="{C3380CC4-5D6E-409C-BE32-E72D297353CC}">
              <c16:uniqueId val="{00000000-5E77-407D-94A0-6B122D8B29A9}"/>
            </c:ext>
          </c:extLst>
        </c:ser>
        <c:ser>
          <c:idx val="0"/>
          <c:order val="1"/>
          <c:tx>
            <c:strRef>
              <c:f>Dashboard!$P$112</c:f>
              <c:strCache>
                <c:ptCount val="1"/>
                <c:pt idx="0">
                  <c:v>Central Tendency</c:v>
                </c:pt>
              </c:strCache>
            </c:strRef>
          </c:tx>
          <c:spPr>
            <a:solidFill>
              <a:schemeClr val="accent5">
                <a:lumMod val="75000"/>
              </a:schemeClr>
            </a:solidFill>
            <a:ln>
              <a:noFill/>
            </a:ln>
            <a:effectLst/>
          </c:spPr>
          <c:invertIfNegative val="0"/>
          <c:dPt>
            <c:idx val="0"/>
            <c:invertIfNegative val="0"/>
            <c:bubble3D val="0"/>
            <c:spPr>
              <a:solidFill>
                <a:schemeClr val="accent5">
                  <a:lumMod val="75000"/>
                </a:schemeClr>
              </a:solidFill>
              <a:ln>
                <a:noFill/>
              </a:ln>
              <a:effectLst/>
            </c:spPr>
            <c:extLst>
              <c:ext xmlns:c16="http://schemas.microsoft.com/office/drawing/2014/chart" uri="{C3380CC4-5D6E-409C-BE32-E72D297353CC}">
                <c16:uniqueId val="{00000002-5E77-407D-94A0-6B122D8B29A9}"/>
              </c:ext>
            </c:extLst>
          </c:dPt>
          <c:dPt>
            <c:idx val="1"/>
            <c:invertIfNegative val="0"/>
            <c:bubble3D val="0"/>
            <c:spPr>
              <a:solidFill>
                <a:schemeClr val="accent5">
                  <a:lumMod val="75000"/>
                </a:schemeClr>
              </a:solidFill>
              <a:ln>
                <a:noFill/>
              </a:ln>
              <a:effectLst/>
            </c:spPr>
            <c:extLst>
              <c:ext xmlns:c16="http://schemas.microsoft.com/office/drawing/2014/chart" uri="{C3380CC4-5D6E-409C-BE32-E72D297353CC}">
                <c16:uniqueId val="{00000004-5E77-407D-94A0-6B122D8B29A9}"/>
              </c:ext>
            </c:extLst>
          </c:dPt>
          <c:dPt>
            <c:idx val="2"/>
            <c:invertIfNegative val="0"/>
            <c:bubble3D val="0"/>
            <c:spPr>
              <a:solidFill>
                <a:schemeClr val="accent5">
                  <a:lumMod val="75000"/>
                </a:schemeClr>
              </a:solidFill>
              <a:ln>
                <a:noFill/>
              </a:ln>
              <a:effectLst/>
            </c:spPr>
            <c:extLst>
              <c:ext xmlns:c16="http://schemas.microsoft.com/office/drawing/2014/chart" uri="{C3380CC4-5D6E-409C-BE32-E72D297353CC}">
                <c16:uniqueId val="{00000006-5E77-407D-94A0-6B122D8B29A9}"/>
              </c:ext>
            </c:extLst>
          </c:dPt>
          <c:dPt>
            <c:idx val="3"/>
            <c:invertIfNegative val="0"/>
            <c:bubble3D val="0"/>
            <c:spPr>
              <a:solidFill>
                <a:schemeClr val="accent5">
                  <a:lumMod val="75000"/>
                </a:schemeClr>
              </a:solidFill>
              <a:ln>
                <a:noFill/>
              </a:ln>
              <a:effectLst/>
            </c:spPr>
            <c:extLst>
              <c:ext xmlns:c16="http://schemas.microsoft.com/office/drawing/2014/chart" uri="{C3380CC4-5D6E-409C-BE32-E72D297353CC}">
                <c16:uniqueId val="{00000008-5E77-407D-94A0-6B122D8B29A9}"/>
              </c:ext>
            </c:extLst>
          </c:dPt>
          <c:cat>
            <c:strLit>
              <c:ptCount val="3"/>
              <c:pt idx="0">
                <c:v>No Gloves</c:v>
              </c:pt>
              <c:pt idx="1">
                <c:v>Gloves: 10</c:v>
              </c:pt>
              <c:pt idx="2">
                <c:v>Occluded Exposure</c:v>
              </c:pt>
            </c:strLit>
          </c:cat>
          <c:val>
            <c:numRef>
              <c:f>Dashboard!$P$113:$P$115</c:f>
              <c:numCache>
                <c:formatCode>0.00E+00</c:formatCode>
                <c:ptCount val="3"/>
                <c:pt idx="0">
                  <c:v>6.4089384924533998E-4</c:v>
                </c:pt>
                <c:pt idx="1">
                  <c:v>1.2817876984906802E-4</c:v>
                </c:pt>
                <c:pt idx="2">
                  <c:v>0</c:v>
                </c:pt>
              </c:numCache>
            </c:numRef>
          </c:val>
          <c:extLst>
            <c:ext xmlns:c16="http://schemas.microsoft.com/office/drawing/2014/chart" uri="{C3380CC4-5D6E-409C-BE32-E72D297353CC}">
              <c16:uniqueId val="{00000009-5E77-407D-94A0-6B122D8B29A9}"/>
            </c:ext>
          </c:extLst>
        </c:ser>
        <c:dLbls>
          <c:showLegendKey val="0"/>
          <c:showVal val="0"/>
          <c:showCatName val="0"/>
          <c:showSerName val="0"/>
          <c:showPercent val="0"/>
          <c:showBubbleSize val="0"/>
        </c:dLbls>
        <c:gapWidth val="150"/>
        <c:overlap val="100"/>
        <c:axId val="580062808"/>
        <c:axId val="580066744"/>
      </c:barChart>
      <c:scatterChart>
        <c:scatterStyle val="lineMarker"/>
        <c:varyColors val="0"/>
        <c:ser>
          <c:idx val="1"/>
          <c:order val="2"/>
          <c:tx>
            <c:v>1.00E-06</c:v>
          </c:tx>
          <c:spPr>
            <a:ln w="28575" cap="rnd">
              <a:solidFill>
                <a:srgbClr val="FF0000"/>
              </a:solidFill>
              <a:round/>
            </a:ln>
            <a:effectLst/>
          </c:spPr>
          <c:marker>
            <c:symbol val="none"/>
          </c:marker>
          <c:xVal>
            <c:numLit>
              <c:formatCode>General</c:formatCode>
              <c:ptCount val="6"/>
              <c:pt idx="0">
                <c:v>9.9999999999999995E-7</c:v>
              </c:pt>
              <c:pt idx="1">
                <c:v>9.9999999999999995E-7</c:v>
              </c:pt>
              <c:pt idx="2">
                <c:v>9.9999999999999995E-7</c:v>
              </c:pt>
              <c:pt idx="3">
                <c:v>9.9999999999999995E-7</c:v>
              </c:pt>
              <c:pt idx="4">
                <c:v>9.9999999999999995E-7</c:v>
              </c:pt>
              <c:pt idx="5">
                <c:v>9.9999999999999995E-7</c:v>
              </c:pt>
            </c:numLit>
          </c:xVal>
          <c:yVal>
            <c:numLit>
              <c:formatCode>General</c:formatCode>
              <c:ptCount val="6"/>
              <c:pt idx="0">
                <c:v>7</c:v>
              </c:pt>
              <c:pt idx="1">
                <c:v>5</c:v>
              </c:pt>
              <c:pt idx="2">
                <c:v>4</c:v>
              </c:pt>
              <c:pt idx="3">
                <c:v>3</c:v>
              </c:pt>
              <c:pt idx="4">
                <c:v>2</c:v>
              </c:pt>
              <c:pt idx="5">
                <c:v>0</c:v>
              </c:pt>
            </c:numLit>
          </c:yVal>
          <c:smooth val="0"/>
          <c:extLst>
            <c:ext xmlns:c16="http://schemas.microsoft.com/office/drawing/2014/chart" uri="{C3380CC4-5D6E-409C-BE32-E72D297353CC}">
              <c16:uniqueId val="{0000000A-5E77-407D-94A0-6B122D8B29A9}"/>
            </c:ext>
          </c:extLst>
        </c:ser>
        <c:ser>
          <c:idx val="2"/>
          <c:order val="3"/>
          <c:tx>
            <c:v>1.00E-05</c:v>
          </c:tx>
          <c:spPr>
            <a:ln w="28575" cap="rnd">
              <a:solidFill>
                <a:srgbClr val="FF0000"/>
              </a:solidFill>
              <a:round/>
            </a:ln>
            <a:effectLst/>
          </c:spPr>
          <c:marker>
            <c:symbol val="none"/>
          </c:marker>
          <c:xVal>
            <c:numLit>
              <c:formatCode>General</c:formatCode>
              <c:ptCount val="6"/>
              <c:pt idx="0">
                <c:v>1.0000000000000001E-5</c:v>
              </c:pt>
              <c:pt idx="1">
                <c:v>1.0000000000000001E-5</c:v>
              </c:pt>
              <c:pt idx="2">
                <c:v>1.0000000000000001E-5</c:v>
              </c:pt>
              <c:pt idx="3">
                <c:v>1.0000000000000001E-5</c:v>
              </c:pt>
              <c:pt idx="4">
                <c:v>1.0000000000000001E-5</c:v>
              </c:pt>
              <c:pt idx="5">
                <c:v>1.0000000000000001E-5</c:v>
              </c:pt>
            </c:numLit>
          </c:xVal>
          <c:yVal>
            <c:numLit>
              <c:formatCode>General</c:formatCode>
              <c:ptCount val="6"/>
              <c:pt idx="0">
                <c:v>7</c:v>
              </c:pt>
              <c:pt idx="1">
                <c:v>5</c:v>
              </c:pt>
              <c:pt idx="2">
                <c:v>4</c:v>
              </c:pt>
              <c:pt idx="3">
                <c:v>3</c:v>
              </c:pt>
              <c:pt idx="4">
                <c:v>2</c:v>
              </c:pt>
              <c:pt idx="5">
                <c:v>0</c:v>
              </c:pt>
            </c:numLit>
          </c:yVal>
          <c:smooth val="0"/>
          <c:extLst>
            <c:ext xmlns:c16="http://schemas.microsoft.com/office/drawing/2014/chart" uri="{C3380CC4-5D6E-409C-BE32-E72D297353CC}">
              <c16:uniqueId val="{0000000B-5E77-407D-94A0-6B122D8B29A9}"/>
            </c:ext>
          </c:extLst>
        </c:ser>
        <c:ser>
          <c:idx val="3"/>
          <c:order val="4"/>
          <c:tx>
            <c:v>1.00E-04</c:v>
          </c:tx>
          <c:spPr>
            <a:ln w="28575" cap="rnd">
              <a:solidFill>
                <a:srgbClr val="FF0000"/>
              </a:solidFill>
              <a:round/>
            </a:ln>
            <a:effectLst/>
          </c:spPr>
          <c:marker>
            <c:symbol val="none"/>
          </c:marker>
          <c:xVal>
            <c:numLit>
              <c:formatCode>General</c:formatCode>
              <c:ptCount val="6"/>
              <c:pt idx="0">
                <c:v>1E-4</c:v>
              </c:pt>
              <c:pt idx="1">
                <c:v>1E-4</c:v>
              </c:pt>
              <c:pt idx="2">
                <c:v>1E-4</c:v>
              </c:pt>
              <c:pt idx="3">
                <c:v>1E-4</c:v>
              </c:pt>
              <c:pt idx="4">
                <c:v>1E-4</c:v>
              </c:pt>
              <c:pt idx="5">
                <c:v>1E-4</c:v>
              </c:pt>
            </c:numLit>
          </c:xVal>
          <c:yVal>
            <c:numLit>
              <c:formatCode>General</c:formatCode>
              <c:ptCount val="6"/>
              <c:pt idx="0">
                <c:v>7</c:v>
              </c:pt>
              <c:pt idx="1">
                <c:v>5</c:v>
              </c:pt>
              <c:pt idx="2">
                <c:v>4</c:v>
              </c:pt>
              <c:pt idx="3">
                <c:v>3</c:v>
              </c:pt>
              <c:pt idx="4">
                <c:v>2</c:v>
              </c:pt>
              <c:pt idx="5">
                <c:v>0</c:v>
              </c:pt>
            </c:numLit>
          </c:yVal>
          <c:smooth val="0"/>
          <c:extLst>
            <c:ext xmlns:c16="http://schemas.microsoft.com/office/drawing/2014/chart" uri="{C3380CC4-5D6E-409C-BE32-E72D297353CC}">
              <c16:uniqueId val="{0000000C-5E77-407D-94A0-6B122D8B29A9}"/>
            </c:ext>
          </c:extLst>
        </c:ser>
        <c:dLbls>
          <c:showLegendKey val="0"/>
          <c:showVal val="0"/>
          <c:showCatName val="0"/>
          <c:showSerName val="0"/>
          <c:showPercent val="0"/>
          <c:showBubbleSize val="0"/>
        </c:dLbls>
        <c:axId val="599810312"/>
        <c:axId val="599814248"/>
      </c:scatterChart>
      <c:catAx>
        <c:axId val="58006280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0066744"/>
        <c:crosses val="autoZero"/>
        <c:auto val="1"/>
        <c:lblAlgn val="ctr"/>
        <c:lblOffset val="100"/>
        <c:noMultiLvlLbl val="0"/>
      </c:catAx>
      <c:valAx>
        <c:axId val="580066744"/>
        <c:scaling>
          <c:logBase val="10"/>
          <c:orientation val="minMax"/>
          <c:min val="1.0000000000000005E-7"/>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sz="1000">
                    <a:solidFill>
                      <a:sysClr val="windowText" lastClr="000000"/>
                    </a:solidFill>
                  </a:rPr>
                  <a:t>Excess Cancer Risk</a:t>
                </a:r>
              </a:p>
            </c:rich>
          </c:tx>
          <c:layout>
            <c:manualLayout>
              <c:xMode val="edge"/>
              <c:yMode val="edge"/>
              <c:x val="0.36584643797039879"/>
              <c:y val="0.9103309379643723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E+0" sourceLinked="0"/>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0062808"/>
        <c:crosses val="autoZero"/>
        <c:crossBetween val="between"/>
      </c:valAx>
      <c:valAx>
        <c:axId val="599814248"/>
        <c:scaling>
          <c:orientation val="minMax"/>
          <c:max val="7"/>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599810312"/>
        <c:crosses val="autoZero"/>
        <c:crossBetween val="midCat"/>
      </c:valAx>
      <c:valAx>
        <c:axId val="599810312"/>
        <c:scaling>
          <c:logBase val="10"/>
          <c:orientation val="minMax"/>
          <c:max val="1"/>
          <c:min val="1.0000000000000005E-7"/>
        </c:scaling>
        <c:delete val="0"/>
        <c:axPos val="t"/>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599814248"/>
        <c:crosses val="max"/>
        <c:crossBetween val="midCat"/>
      </c:valAx>
      <c:spPr>
        <a:noFill/>
        <a:ln>
          <a:solidFill>
            <a:schemeClr val="tx1"/>
          </a:solidFill>
        </a:ln>
        <a:effectLst/>
      </c:spPr>
    </c:plotArea>
    <c:legend>
      <c:legendPos val="r"/>
      <c:legendEntry>
        <c:idx val="2"/>
        <c:delete val="1"/>
      </c:legendEntry>
      <c:legendEntry>
        <c:idx val="3"/>
        <c:delete val="1"/>
      </c:legendEntry>
      <c:legendEntry>
        <c:idx val="4"/>
        <c:delete val="1"/>
      </c:legendEntry>
      <c:layout>
        <c:manualLayout>
          <c:xMode val="edge"/>
          <c:yMode val="edge"/>
          <c:x val="0.84666892501423174"/>
          <c:y val="0.46328339630668497"/>
          <c:w val="0.14389088631019784"/>
          <c:h val="0.12234015704880916"/>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RR!$H$81</c:f>
          <c:strCache>
            <c:ptCount val="1"/>
            <c:pt idx="0">
              <c:v>Inhalation Cancer Risk Estimates</c:v>
            </c:pt>
          </c:strCache>
        </c:strRef>
      </c:tx>
      <c:layout>
        <c:manualLayout>
          <c:xMode val="edge"/>
          <c:yMode val="edge"/>
          <c:x val="0.35379421156466734"/>
          <c:y val="5.11888663077683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9150842647774607"/>
          <c:y val="0.21054931230848406"/>
          <c:w val="0.63729288181961663"/>
          <c:h val="0.60596785221581506"/>
        </c:manualLayout>
      </c:layout>
      <c:barChart>
        <c:barDir val="bar"/>
        <c:grouping val="stacked"/>
        <c:varyColors val="0"/>
        <c:ser>
          <c:idx val="4"/>
          <c:order val="0"/>
          <c:tx>
            <c:strRef>
              <c:f>RR!$J$81</c:f>
              <c:strCache>
                <c:ptCount val="1"/>
                <c:pt idx="0">
                  <c:v>Central Tendency</c:v>
                </c:pt>
              </c:strCache>
            </c:strRef>
          </c:tx>
          <c:spPr>
            <a:solidFill>
              <a:schemeClr val="accent5"/>
            </a:solidFill>
            <a:ln>
              <a:noFill/>
            </a:ln>
            <a:effectLst/>
          </c:spPr>
          <c:invertIfNegative val="0"/>
          <c:cat>
            <c:strRef>
              <c:f>RR!$H$82:$H$87</c:f>
              <c:strCache>
                <c:ptCount val="6"/>
                <c:pt idx="0">
                  <c:v>No Respirator</c:v>
                </c:pt>
                <c:pt idx="1">
                  <c:v>APF = 10</c:v>
                </c:pt>
                <c:pt idx="2">
                  <c:v>APF = 25</c:v>
                </c:pt>
                <c:pt idx="3">
                  <c:v>APF = 50</c:v>
                </c:pt>
                <c:pt idx="4">
                  <c:v>APF = 1,000</c:v>
                </c:pt>
                <c:pt idx="5">
                  <c:v>APF = 10,000</c:v>
                </c:pt>
              </c:strCache>
            </c:strRef>
          </c:cat>
          <c:val>
            <c:numRef>
              <c:f>RR!$J$82:$J$87</c:f>
              <c:numCache>
                <c:formatCode>0.00E+00</c:formatCode>
                <c:ptCount val="6"/>
                <c:pt idx="0">
                  <c:v>5.8980213089802127E-6</c:v>
                </c:pt>
                <c:pt idx="1">
                  <c:v>5.8980213089802131E-7</c:v>
                </c:pt>
                <c:pt idx="2">
                  <c:v>2.3592085235920849E-7</c:v>
                </c:pt>
                <c:pt idx="3">
                  <c:v>1.1796042617960425E-7</c:v>
                </c:pt>
                <c:pt idx="4">
                  <c:v>5.898021308980213E-9</c:v>
                </c:pt>
                <c:pt idx="5">
                  <c:v>5.8980213089802134E-10</c:v>
                </c:pt>
              </c:numCache>
            </c:numRef>
          </c:val>
          <c:extLst>
            <c:ext xmlns:c16="http://schemas.microsoft.com/office/drawing/2014/chart" uri="{C3380CC4-5D6E-409C-BE32-E72D297353CC}">
              <c16:uniqueId val="{0000000C-0523-48BC-9D17-AA720449FCD4}"/>
            </c:ext>
          </c:extLst>
        </c:ser>
        <c:ser>
          <c:idx val="0"/>
          <c:order val="1"/>
          <c:tx>
            <c:strRef>
              <c:f>RR!$I$81</c:f>
              <c:strCache>
                <c:ptCount val="1"/>
                <c:pt idx="0">
                  <c:v>High End</c:v>
                </c:pt>
              </c:strCache>
            </c:strRef>
          </c:tx>
          <c:spPr>
            <a:solidFill>
              <a:schemeClr val="accent5">
                <a:lumMod val="75000"/>
              </a:schemeClr>
            </a:solidFill>
            <a:ln>
              <a:noFill/>
            </a:ln>
            <a:effectLst/>
          </c:spPr>
          <c:invertIfNegative val="0"/>
          <c:dPt>
            <c:idx val="0"/>
            <c:invertIfNegative val="0"/>
            <c:bubble3D val="0"/>
            <c:spPr>
              <a:solidFill>
                <a:schemeClr val="accent5">
                  <a:lumMod val="75000"/>
                </a:schemeClr>
              </a:solidFill>
              <a:ln>
                <a:noFill/>
              </a:ln>
              <a:effectLst/>
            </c:spPr>
            <c:extLst>
              <c:ext xmlns:c16="http://schemas.microsoft.com/office/drawing/2014/chart" uri="{C3380CC4-5D6E-409C-BE32-E72D297353CC}">
                <c16:uniqueId val="{00000001-0523-48BC-9D17-AA720449FCD4}"/>
              </c:ext>
            </c:extLst>
          </c:dPt>
          <c:dPt>
            <c:idx val="1"/>
            <c:invertIfNegative val="0"/>
            <c:bubble3D val="0"/>
            <c:spPr>
              <a:solidFill>
                <a:schemeClr val="accent5">
                  <a:lumMod val="75000"/>
                </a:schemeClr>
              </a:solidFill>
              <a:ln>
                <a:noFill/>
              </a:ln>
              <a:effectLst/>
            </c:spPr>
            <c:extLst>
              <c:ext xmlns:c16="http://schemas.microsoft.com/office/drawing/2014/chart" uri="{C3380CC4-5D6E-409C-BE32-E72D297353CC}">
                <c16:uniqueId val="{00000003-0523-48BC-9D17-AA720449FCD4}"/>
              </c:ext>
            </c:extLst>
          </c:dPt>
          <c:dPt>
            <c:idx val="2"/>
            <c:invertIfNegative val="0"/>
            <c:bubble3D val="0"/>
            <c:spPr>
              <a:solidFill>
                <a:schemeClr val="accent5">
                  <a:lumMod val="75000"/>
                </a:schemeClr>
              </a:solidFill>
              <a:ln>
                <a:noFill/>
              </a:ln>
              <a:effectLst/>
            </c:spPr>
            <c:extLst>
              <c:ext xmlns:c16="http://schemas.microsoft.com/office/drawing/2014/chart" uri="{C3380CC4-5D6E-409C-BE32-E72D297353CC}">
                <c16:uniqueId val="{00000005-0523-48BC-9D17-AA720449FCD4}"/>
              </c:ext>
            </c:extLst>
          </c:dPt>
          <c:dPt>
            <c:idx val="3"/>
            <c:invertIfNegative val="0"/>
            <c:bubble3D val="0"/>
            <c:spPr>
              <a:solidFill>
                <a:schemeClr val="accent5">
                  <a:lumMod val="75000"/>
                </a:schemeClr>
              </a:solidFill>
              <a:ln>
                <a:noFill/>
              </a:ln>
              <a:effectLst/>
            </c:spPr>
            <c:extLst>
              <c:ext xmlns:c16="http://schemas.microsoft.com/office/drawing/2014/chart" uri="{C3380CC4-5D6E-409C-BE32-E72D297353CC}">
                <c16:uniqueId val="{00000007-0523-48BC-9D17-AA720449FCD4}"/>
              </c:ext>
            </c:extLst>
          </c:dPt>
          <c:cat>
            <c:strRef>
              <c:f>RR!$H$82:$H$87</c:f>
              <c:strCache>
                <c:ptCount val="6"/>
                <c:pt idx="0">
                  <c:v>No Respirator</c:v>
                </c:pt>
                <c:pt idx="1">
                  <c:v>APF = 10</c:v>
                </c:pt>
                <c:pt idx="2">
                  <c:v>APF = 25</c:v>
                </c:pt>
                <c:pt idx="3">
                  <c:v>APF = 50</c:v>
                </c:pt>
                <c:pt idx="4">
                  <c:v>APF = 1,000</c:v>
                </c:pt>
                <c:pt idx="5">
                  <c:v>APF = 10,000</c:v>
                </c:pt>
              </c:strCache>
            </c:strRef>
          </c:cat>
          <c:val>
            <c:numRef>
              <c:f>RR!$I$82:$I$87</c:f>
              <c:numCache>
                <c:formatCode>0.00E+00</c:formatCode>
                <c:ptCount val="6"/>
                <c:pt idx="0">
                  <c:v>6.2328181711743334E-4</c:v>
                </c:pt>
                <c:pt idx="1">
                  <c:v>6.2328181711743339E-5</c:v>
                </c:pt>
                <c:pt idx="2">
                  <c:v>2.4931272684697334E-5</c:v>
                </c:pt>
                <c:pt idx="3">
                  <c:v>1.2465636342348667E-5</c:v>
                </c:pt>
                <c:pt idx="4">
                  <c:v>6.2328181711743332E-7</c:v>
                </c:pt>
                <c:pt idx="5">
                  <c:v>6.2328181711743345E-8</c:v>
                </c:pt>
              </c:numCache>
            </c:numRef>
          </c:val>
          <c:extLst>
            <c:ext xmlns:c16="http://schemas.microsoft.com/office/drawing/2014/chart" uri="{C3380CC4-5D6E-409C-BE32-E72D297353CC}">
              <c16:uniqueId val="{00000008-0523-48BC-9D17-AA720449FCD4}"/>
            </c:ext>
          </c:extLst>
        </c:ser>
        <c:dLbls>
          <c:showLegendKey val="0"/>
          <c:showVal val="0"/>
          <c:showCatName val="0"/>
          <c:showSerName val="0"/>
          <c:showPercent val="0"/>
          <c:showBubbleSize val="0"/>
        </c:dLbls>
        <c:gapWidth val="150"/>
        <c:overlap val="100"/>
        <c:axId val="580062808"/>
        <c:axId val="580066744"/>
      </c:barChart>
      <c:scatterChart>
        <c:scatterStyle val="lineMarker"/>
        <c:varyColors val="0"/>
        <c:ser>
          <c:idx val="1"/>
          <c:order val="2"/>
          <c:tx>
            <c:v>1.00E-06</c:v>
          </c:tx>
          <c:spPr>
            <a:ln w="28575" cap="rnd">
              <a:solidFill>
                <a:srgbClr val="FF0000"/>
              </a:solidFill>
              <a:round/>
            </a:ln>
            <a:effectLst/>
          </c:spPr>
          <c:marker>
            <c:symbol val="none"/>
          </c:marker>
          <c:xVal>
            <c:numLit>
              <c:formatCode>General</c:formatCode>
              <c:ptCount val="6"/>
              <c:pt idx="0">
                <c:v>9.9999999999999995E-7</c:v>
              </c:pt>
              <c:pt idx="1">
                <c:v>9.9999999999999995E-7</c:v>
              </c:pt>
              <c:pt idx="2">
                <c:v>9.9999999999999995E-7</c:v>
              </c:pt>
              <c:pt idx="3">
                <c:v>9.9999999999999995E-7</c:v>
              </c:pt>
              <c:pt idx="4">
                <c:v>9.9999999999999995E-7</c:v>
              </c:pt>
              <c:pt idx="5">
                <c:v>9.9999999999999995E-7</c:v>
              </c:pt>
            </c:numLit>
          </c:xVal>
          <c:yVal>
            <c:numLit>
              <c:formatCode>General</c:formatCode>
              <c:ptCount val="6"/>
              <c:pt idx="0">
                <c:v>7</c:v>
              </c:pt>
              <c:pt idx="1">
                <c:v>5</c:v>
              </c:pt>
              <c:pt idx="2">
                <c:v>4</c:v>
              </c:pt>
              <c:pt idx="3">
                <c:v>3</c:v>
              </c:pt>
              <c:pt idx="4">
                <c:v>2</c:v>
              </c:pt>
              <c:pt idx="5">
                <c:v>0</c:v>
              </c:pt>
            </c:numLit>
          </c:yVal>
          <c:smooth val="0"/>
          <c:extLst>
            <c:ext xmlns:c16="http://schemas.microsoft.com/office/drawing/2014/chart" uri="{C3380CC4-5D6E-409C-BE32-E72D297353CC}">
              <c16:uniqueId val="{00000009-0523-48BC-9D17-AA720449FCD4}"/>
            </c:ext>
          </c:extLst>
        </c:ser>
        <c:ser>
          <c:idx val="2"/>
          <c:order val="3"/>
          <c:tx>
            <c:v>1.00E-05</c:v>
          </c:tx>
          <c:spPr>
            <a:ln w="28575" cap="rnd">
              <a:solidFill>
                <a:srgbClr val="FF0000"/>
              </a:solidFill>
              <a:round/>
            </a:ln>
            <a:effectLst/>
          </c:spPr>
          <c:marker>
            <c:symbol val="none"/>
          </c:marker>
          <c:xVal>
            <c:numLit>
              <c:formatCode>General</c:formatCode>
              <c:ptCount val="6"/>
              <c:pt idx="0">
                <c:v>1.0000000000000001E-5</c:v>
              </c:pt>
              <c:pt idx="1">
                <c:v>1.0000000000000001E-5</c:v>
              </c:pt>
              <c:pt idx="2">
                <c:v>1.0000000000000001E-5</c:v>
              </c:pt>
              <c:pt idx="3">
                <c:v>1.0000000000000001E-5</c:v>
              </c:pt>
              <c:pt idx="4">
                <c:v>1.0000000000000001E-5</c:v>
              </c:pt>
              <c:pt idx="5">
                <c:v>1.0000000000000001E-5</c:v>
              </c:pt>
            </c:numLit>
          </c:xVal>
          <c:yVal>
            <c:numLit>
              <c:formatCode>General</c:formatCode>
              <c:ptCount val="6"/>
              <c:pt idx="0">
                <c:v>7</c:v>
              </c:pt>
              <c:pt idx="1">
                <c:v>5</c:v>
              </c:pt>
              <c:pt idx="2">
                <c:v>4</c:v>
              </c:pt>
              <c:pt idx="3">
                <c:v>3</c:v>
              </c:pt>
              <c:pt idx="4">
                <c:v>2</c:v>
              </c:pt>
              <c:pt idx="5">
                <c:v>0</c:v>
              </c:pt>
            </c:numLit>
          </c:yVal>
          <c:smooth val="0"/>
          <c:extLst>
            <c:ext xmlns:c16="http://schemas.microsoft.com/office/drawing/2014/chart" uri="{C3380CC4-5D6E-409C-BE32-E72D297353CC}">
              <c16:uniqueId val="{0000000A-0523-48BC-9D17-AA720449FCD4}"/>
            </c:ext>
          </c:extLst>
        </c:ser>
        <c:ser>
          <c:idx val="3"/>
          <c:order val="4"/>
          <c:tx>
            <c:v>1.00E-04</c:v>
          </c:tx>
          <c:spPr>
            <a:ln w="28575" cap="rnd">
              <a:solidFill>
                <a:srgbClr val="FF0000"/>
              </a:solidFill>
              <a:round/>
            </a:ln>
            <a:effectLst/>
          </c:spPr>
          <c:marker>
            <c:symbol val="none"/>
          </c:marker>
          <c:xVal>
            <c:numLit>
              <c:formatCode>General</c:formatCode>
              <c:ptCount val="6"/>
              <c:pt idx="0">
                <c:v>1E-4</c:v>
              </c:pt>
              <c:pt idx="1">
                <c:v>1E-4</c:v>
              </c:pt>
              <c:pt idx="2">
                <c:v>1E-4</c:v>
              </c:pt>
              <c:pt idx="3">
                <c:v>1E-4</c:v>
              </c:pt>
              <c:pt idx="4">
                <c:v>1E-4</c:v>
              </c:pt>
              <c:pt idx="5">
                <c:v>1E-4</c:v>
              </c:pt>
            </c:numLit>
          </c:xVal>
          <c:yVal>
            <c:numLit>
              <c:formatCode>General</c:formatCode>
              <c:ptCount val="6"/>
              <c:pt idx="0">
                <c:v>7</c:v>
              </c:pt>
              <c:pt idx="1">
                <c:v>5</c:v>
              </c:pt>
              <c:pt idx="2">
                <c:v>4</c:v>
              </c:pt>
              <c:pt idx="3">
                <c:v>3</c:v>
              </c:pt>
              <c:pt idx="4">
                <c:v>2</c:v>
              </c:pt>
              <c:pt idx="5">
                <c:v>0</c:v>
              </c:pt>
            </c:numLit>
          </c:yVal>
          <c:smooth val="0"/>
          <c:extLst>
            <c:ext xmlns:c16="http://schemas.microsoft.com/office/drawing/2014/chart" uri="{C3380CC4-5D6E-409C-BE32-E72D297353CC}">
              <c16:uniqueId val="{0000000B-0523-48BC-9D17-AA720449FCD4}"/>
            </c:ext>
          </c:extLst>
        </c:ser>
        <c:dLbls>
          <c:showLegendKey val="0"/>
          <c:showVal val="0"/>
          <c:showCatName val="0"/>
          <c:showSerName val="0"/>
          <c:showPercent val="0"/>
          <c:showBubbleSize val="0"/>
        </c:dLbls>
        <c:axId val="599810312"/>
        <c:axId val="599814248"/>
      </c:scatterChart>
      <c:catAx>
        <c:axId val="58006280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0066744"/>
        <c:crosses val="autoZero"/>
        <c:auto val="1"/>
        <c:lblAlgn val="ctr"/>
        <c:lblOffset val="100"/>
        <c:noMultiLvlLbl val="0"/>
      </c:catAx>
      <c:valAx>
        <c:axId val="580066744"/>
        <c:scaling>
          <c:logBase val="10"/>
          <c:orientation val="minMax"/>
          <c:min val="1.0000000000000005E-7"/>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Excess Cancer Risk</a:t>
                </a:r>
              </a:p>
            </c:rich>
          </c:tx>
          <c:layout>
            <c:manualLayout>
              <c:xMode val="edge"/>
              <c:yMode val="edge"/>
              <c:x val="0.36584643797039879"/>
              <c:y val="0.9103309379643723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E+0" sourceLinked="0"/>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0062808"/>
        <c:crosses val="autoZero"/>
        <c:crossBetween val="between"/>
      </c:valAx>
      <c:valAx>
        <c:axId val="599814248"/>
        <c:scaling>
          <c:orientation val="minMax"/>
          <c:max val="7"/>
        </c:scaling>
        <c:delete val="1"/>
        <c:axPos val="l"/>
        <c:numFmt formatCode="General" sourceLinked="1"/>
        <c:majorTickMark val="out"/>
        <c:minorTickMark val="none"/>
        <c:tickLblPos val="nextTo"/>
        <c:crossAx val="599810312"/>
        <c:crosses val="autoZero"/>
        <c:crossBetween val="midCat"/>
      </c:valAx>
      <c:valAx>
        <c:axId val="599810312"/>
        <c:scaling>
          <c:logBase val="10"/>
          <c:orientation val="minMax"/>
          <c:max val="1"/>
          <c:min val="1.0000000000000005E-7"/>
        </c:scaling>
        <c:delete val="0"/>
        <c:axPos val="t"/>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599814248"/>
        <c:crosses val="max"/>
        <c:crossBetween val="midCat"/>
      </c:valAx>
      <c:spPr>
        <a:noFill/>
        <a:ln>
          <a:solidFill>
            <a:schemeClr val="tx1"/>
          </a:solidFill>
        </a:ln>
        <a:effectLst/>
      </c:spPr>
    </c:plotArea>
    <c:legend>
      <c:legendPos val="r"/>
      <c:legendEntry>
        <c:idx val="2"/>
        <c:delete val="1"/>
      </c:legendEntry>
      <c:legendEntry>
        <c:idx val="3"/>
        <c:delete val="1"/>
      </c:legendEntry>
      <c:legendEntry>
        <c:idx val="4"/>
        <c:delete val="1"/>
      </c:legendEntry>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"Dermal Cancer Risk Estimates"</c:f>
          <c:strCache>
            <c:ptCount val="1"/>
            <c:pt idx="0">
              <c:v>Dermal Cancer Risk Estimates</c:v>
            </c:pt>
          </c:strCache>
        </c:strRef>
      </c:tx>
      <c:layout>
        <c:manualLayout>
          <c:xMode val="edge"/>
          <c:yMode val="edge"/>
          <c:x val="0.36062458254174651"/>
          <c:y val="3.74142531318897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9150842647774607"/>
          <c:y val="0.21054931230848406"/>
          <c:w val="0.61536767478778098"/>
          <c:h val="0.63093447925324686"/>
        </c:manualLayout>
      </c:layout>
      <c:barChart>
        <c:barDir val="bar"/>
        <c:grouping val="stacked"/>
        <c:varyColors val="0"/>
        <c:ser>
          <c:idx val="4"/>
          <c:order val="0"/>
          <c:tx>
            <c:strRef>
              <c:f>RR!$T$81</c:f>
              <c:strCache>
                <c:ptCount val="1"/>
                <c:pt idx="0">
                  <c:v>Central Tendency</c:v>
                </c:pt>
              </c:strCache>
            </c:strRef>
          </c:tx>
          <c:spPr>
            <a:solidFill>
              <a:schemeClr val="accent5"/>
            </a:solidFill>
            <a:ln>
              <a:noFill/>
            </a:ln>
            <a:effectLst/>
          </c:spPr>
          <c:invertIfNegative val="0"/>
          <c:cat>
            <c:strRef>
              <c:f>RR!$R$82:$R$86</c:f>
              <c:strCache>
                <c:ptCount val="5"/>
                <c:pt idx="0">
                  <c:v>Occluded Exposure</c:v>
                </c:pt>
                <c:pt idx="1">
                  <c:v>No Gloves (PF = 1)</c:v>
                </c:pt>
                <c:pt idx="2">
                  <c:v>Protective Gloves (PF = 5)</c:v>
                </c:pt>
                <c:pt idx="3">
                  <c:v>Protective Gloves 
(Commercial uses, PF = 10)</c:v>
                </c:pt>
                <c:pt idx="4">
                  <c:v>Protective Gloves 
(Industrial uses, PF = 20)</c:v>
                </c:pt>
              </c:strCache>
            </c:strRef>
          </c:cat>
          <c:val>
            <c:numRef>
              <c:f>RR!$T$82:$T$86</c:f>
              <c:numCache>
                <c:formatCode>0.00E+00</c:formatCode>
                <c:ptCount val="5"/>
                <c:pt idx="0" formatCode="0.00">
                  <c:v>0</c:v>
                </c:pt>
                <c:pt idx="1">
                  <c:v>6.4089384924533998E-4</c:v>
                </c:pt>
                <c:pt idx="2">
                  <c:v>1.2817876984906802E-4</c:v>
                </c:pt>
                <c:pt idx="3">
                  <c:v>6.4089384924534008E-5</c:v>
                </c:pt>
                <c:pt idx="4">
                  <c:v>3.2044692462267004E-5</c:v>
                </c:pt>
              </c:numCache>
            </c:numRef>
          </c:val>
          <c:extLst>
            <c:ext xmlns:c16="http://schemas.microsoft.com/office/drawing/2014/chart" uri="{C3380CC4-5D6E-409C-BE32-E72D297353CC}">
              <c16:uniqueId val="{00000000-87D3-415F-AF39-6B36B004E4E8}"/>
            </c:ext>
          </c:extLst>
        </c:ser>
        <c:ser>
          <c:idx val="0"/>
          <c:order val="1"/>
          <c:tx>
            <c:strRef>
              <c:f>RR!$S$81</c:f>
              <c:strCache>
                <c:ptCount val="1"/>
                <c:pt idx="0">
                  <c:v>High End</c:v>
                </c:pt>
              </c:strCache>
            </c:strRef>
          </c:tx>
          <c:spPr>
            <a:solidFill>
              <a:schemeClr val="accent5">
                <a:lumMod val="75000"/>
              </a:schemeClr>
            </a:solidFill>
            <a:ln>
              <a:noFill/>
            </a:ln>
            <a:effectLst/>
          </c:spPr>
          <c:invertIfNegative val="0"/>
          <c:dPt>
            <c:idx val="0"/>
            <c:invertIfNegative val="0"/>
            <c:bubble3D val="0"/>
            <c:spPr>
              <a:solidFill>
                <a:schemeClr val="accent5">
                  <a:lumMod val="75000"/>
                </a:schemeClr>
              </a:solidFill>
              <a:ln>
                <a:noFill/>
              </a:ln>
              <a:effectLst/>
            </c:spPr>
            <c:extLst>
              <c:ext xmlns:c16="http://schemas.microsoft.com/office/drawing/2014/chart" uri="{C3380CC4-5D6E-409C-BE32-E72D297353CC}">
                <c16:uniqueId val="{00000002-87D3-415F-AF39-6B36B004E4E8}"/>
              </c:ext>
            </c:extLst>
          </c:dPt>
          <c:dPt>
            <c:idx val="1"/>
            <c:invertIfNegative val="0"/>
            <c:bubble3D val="0"/>
            <c:spPr>
              <a:solidFill>
                <a:schemeClr val="accent5">
                  <a:lumMod val="75000"/>
                </a:schemeClr>
              </a:solidFill>
              <a:ln>
                <a:noFill/>
              </a:ln>
              <a:effectLst/>
            </c:spPr>
            <c:extLst>
              <c:ext xmlns:c16="http://schemas.microsoft.com/office/drawing/2014/chart" uri="{C3380CC4-5D6E-409C-BE32-E72D297353CC}">
                <c16:uniqueId val="{00000004-87D3-415F-AF39-6B36B004E4E8}"/>
              </c:ext>
            </c:extLst>
          </c:dPt>
          <c:dPt>
            <c:idx val="2"/>
            <c:invertIfNegative val="0"/>
            <c:bubble3D val="0"/>
            <c:spPr>
              <a:solidFill>
                <a:schemeClr val="accent5">
                  <a:lumMod val="75000"/>
                </a:schemeClr>
              </a:solidFill>
              <a:ln>
                <a:noFill/>
              </a:ln>
              <a:effectLst/>
            </c:spPr>
            <c:extLst>
              <c:ext xmlns:c16="http://schemas.microsoft.com/office/drawing/2014/chart" uri="{C3380CC4-5D6E-409C-BE32-E72D297353CC}">
                <c16:uniqueId val="{00000006-87D3-415F-AF39-6B36B004E4E8}"/>
              </c:ext>
            </c:extLst>
          </c:dPt>
          <c:dPt>
            <c:idx val="3"/>
            <c:invertIfNegative val="0"/>
            <c:bubble3D val="0"/>
            <c:spPr>
              <a:solidFill>
                <a:schemeClr val="accent5">
                  <a:lumMod val="75000"/>
                </a:schemeClr>
              </a:solidFill>
              <a:ln>
                <a:noFill/>
              </a:ln>
              <a:effectLst/>
            </c:spPr>
            <c:extLst>
              <c:ext xmlns:c16="http://schemas.microsoft.com/office/drawing/2014/chart" uri="{C3380CC4-5D6E-409C-BE32-E72D297353CC}">
                <c16:uniqueId val="{00000008-87D3-415F-AF39-6B36B004E4E8}"/>
              </c:ext>
            </c:extLst>
          </c:dPt>
          <c:cat>
            <c:strRef>
              <c:f>RR!$R$82:$R$86</c:f>
              <c:strCache>
                <c:ptCount val="5"/>
                <c:pt idx="0">
                  <c:v>Occluded Exposure</c:v>
                </c:pt>
                <c:pt idx="1">
                  <c:v>No Gloves (PF = 1)</c:v>
                </c:pt>
                <c:pt idx="2">
                  <c:v>Protective Gloves (PF = 5)</c:v>
                </c:pt>
                <c:pt idx="3">
                  <c:v>Protective Gloves 
(Commercial uses, PF = 10)</c:v>
                </c:pt>
                <c:pt idx="4">
                  <c:v>Protective Gloves 
(Industrial uses, PF = 20)</c:v>
                </c:pt>
              </c:strCache>
            </c:strRef>
          </c:cat>
          <c:val>
            <c:numRef>
              <c:f>RR!$S$82:$S$86</c:f>
              <c:numCache>
                <c:formatCode>0.00E+00</c:formatCode>
                <c:ptCount val="5"/>
                <c:pt idx="0" formatCode="0.00">
                  <c:v>0</c:v>
                </c:pt>
                <c:pt idx="1">
                  <c:v>0</c:v>
                </c:pt>
                <c:pt idx="2">
                  <c:v>4.96175883286715E-4</c:v>
                </c:pt>
                <c:pt idx="3">
                  <c:v>2.480879416433575E-4</c:v>
                </c:pt>
                <c:pt idx="4">
                  <c:v>1.2404397082167875E-4</c:v>
                </c:pt>
              </c:numCache>
            </c:numRef>
          </c:val>
          <c:extLst>
            <c:ext xmlns:c16="http://schemas.microsoft.com/office/drawing/2014/chart" uri="{C3380CC4-5D6E-409C-BE32-E72D297353CC}">
              <c16:uniqueId val="{00000009-87D3-415F-AF39-6B36B004E4E8}"/>
            </c:ext>
          </c:extLst>
        </c:ser>
        <c:dLbls>
          <c:showLegendKey val="0"/>
          <c:showVal val="0"/>
          <c:showCatName val="0"/>
          <c:showSerName val="0"/>
          <c:showPercent val="0"/>
          <c:showBubbleSize val="0"/>
        </c:dLbls>
        <c:gapWidth val="150"/>
        <c:overlap val="100"/>
        <c:axId val="580062808"/>
        <c:axId val="580066744"/>
      </c:barChart>
      <c:scatterChart>
        <c:scatterStyle val="lineMarker"/>
        <c:varyColors val="0"/>
        <c:ser>
          <c:idx val="1"/>
          <c:order val="2"/>
          <c:tx>
            <c:v>1.00E-06</c:v>
          </c:tx>
          <c:spPr>
            <a:ln w="28575" cap="rnd">
              <a:solidFill>
                <a:srgbClr val="FF0000"/>
              </a:solidFill>
              <a:round/>
            </a:ln>
            <a:effectLst/>
          </c:spPr>
          <c:marker>
            <c:symbol val="none"/>
          </c:marker>
          <c:xVal>
            <c:numLit>
              <c:formatCode>General</c:formatCode>
              <c:ptCount val="6"/>
              <c:pt idx="0">
                <c:v>9.9999999999999995E-7</c:v>
              </c:pt>
              <c:pt idx="1">
                <c:v>9.9999999999999995E-7</c:v>
              </c:pt>
              <c:pt idx="2">
                <c:v>9.9999999999999995E-7</c:v>
              </c:pt>
              <c:pt idx="3">
                <c:v>9.9999999999999995E-7</c:v>
              </c:pt>
              <c:pt idx="4">
                <c:v>9.9999999999999995E-7</c:v>
              </c:pt>
              <c:pt idx="5">
                <c:v>9.9999999999999995E-7</c:v>
              </c:pt>
            </c:numLit>
          </c:xVal>
          <c:yVal>
            <c:numLit>
              <c:formatCode>General</c:formatCode>
              <c:ptCount val="6"/>
              <c:pt idx="0">
                <c:v>7</c:v>
              </c:pt>
              <c:pt idx="1">
                <c:v>5</c:v>
              </c:pt>
              <c:pt idx="2">
                <c:v>4</c:v>
              </c:pt>
              <c:pt idx="3">
                <c:v>3</c:v>
              </c:pt>
              <c:pt idx="4">
                <c:v>2</c:v>
              </c:pt>
              <c:pt idx="5">
                <c:v>0</c:v>
              </c:pt>
            </c:numLit>
          </c:yVal>
          <c:smooth val="0"/>
          <c:extLst>
            <c:ext xmlns:c16="http://schemas.microsoft.com/office/drawing/2014/chart" uri="{C3380CC4-5D6E-409C-BE32-E72D297353CC}">
              <c16:uniqueId val="{0000000A-87D3-415F-AF39-6B36B004E4E8}"/>
            </c:ext>
          </c:extLst>
        </c:ser>
        <c:ser>
          <c:idx val="2"/>
          <c:order val="3"/>
          <c:tx>
            <c:v>1.00E-05</c:v>
          </c:tx>
          <c:spPr>
            <a:ln w="28575" cap="rnd">
              <a:solidFill>
                <a:srgbClr val="FF0000"/>
              </a:solidFill>
              <a:round/>
            </a:ln>
            <a:effectLst/>
          </c:spPr>
          <c:marker>
            <c:symbol val="none"/>
          </c:marker>
          <c:xVal>
            <c:numLit>
              <c:formatCode>General</c:formatCode>
              <c:ptCount val="6"/>
              <c:pt idx="0">
                <c:v>1.0000000000000001E-5</c:v>
              </c:pt>
              <c:pt idx="1">
                <c:v>1.0000000000000001E-5</c:v>
              </c:pt>
              <c:pt idx="2">
                <c:v>1.0000000000000001E-5</c:v>
              </c:pt>
              <c:pt idx="3">
                <c:v>1.0000000000000001E-5</c:v>
              </c:pt>
              <c:pt idx="4">
                <c:v>1.0000000000000001E-5</c:v>
              </c:pt>
              <c:pt idx="5">
                <c:v>1.0000000000000001E-5</c:v>
              </c:pt>
            </c:numLit>
          </c:xVal>
          <c:yVal>
            <c:numLit>
              <c:formatCode>General</c:formatCode>
              <c:ptCount val="6"/>
              <c:pt idx="0">
                <c:v>7</c:v>
              </c:pt>
              <c:pt idx="1">
                <c:v>5</c:v>
              </c:pt>
              <c:pt idx="2">
                <c:v>4</c:v>
              </c:pt>
              <c:pt idx="3">
                <c:v>3</c:v>
              </c:pt>
              <c:pt idx="4">
                <c:v>2</c:v>
              </c:pt>
              <c:pt idx="5">
                <c:v>0</c:v>
              </c:pt>
            </c:numLit>
          </c:yVal>
          <c:smooth val="0"/>
          <c:extLst>
            <c:ext xmlns:c16="http://schemas.microsoft.com/office/drawing/2014/chart" uri="{C3380CC4-5D6E-409C-BE32-E72D297353CC}">
              <c16:uniqueId val="{0000000B-87D3-415F-AF39-6B36B004E4E8}"/>
            </c:ext>
          </c:extLst>
        </c:ser>
        <c:ser>
          <c:idx val="3"/>
          <c:order val="4"/>
          <c:tx>
            <c:v>1.00E-04</c:v>
          </c:tx>
          <c:spPr>
            <a:ln w="28575" cap="rnd">
              <a:solidFill>
                <a:srgbClr val="FF0000"/>
              </a:solidFill>
              <a:round/>
            </a:ln>
            <a:effectLst/>
          </c:spPr>
          <c:marker>
            <c:symbol val="none"/>
          </c:marker>
          <c:xVal>
            <c:numLit>
              <c:formatCode>General</c:formatCode>
              <c:ptCount val="6"/>
              <c:pt idx="0">
                <c:v>1E-4</c:v>
              </c:pt>
              <c:pt idx="1">
                <c:v>1E-4</c:v>
              </c:pt>
              <c:pt idx="2">
                <c:v>1E-4</c:v>
              </c:pt>
              <c:pt idx="3">
                <c:v>1E-4</c:v>
              </c:pt>
              <c:pt idx="4">
                <c:v>1E-4</c:v>
              </c:pt>
              <c:pt idx="5">
                <c:v>1E-4</c:v>
              </c:pt>
            </c:numLit>
          </c:xVal>
          <c:yVal>
            <c:numLit>
              <c:formatCode>General</c:formatCode>
              <c:ptCount val="6"/>
              <c:pt idx="0">
                <c:v>7</c:v>
              </c:pt>
              <c:pt idx="1">
                <c:v>5</c:v>
              </c:pt>
              <c:pt idx="2">
                <c:v>4</c:v>
              </c:pt>
              <c:pt idx="3">
                <c:v>3</c:v>
              </c:pt>
              <c:pt idx="4">
                <c:v>2</c:v>
              </c:pt>
              <c:pt idx="5">
                <c:v>0</c:v>
              </c:pt>
            </c:numLit>
          </c:yVal>
          <c:smooth val="0"/>
          <c:extLst>
            <c:ext xmlns:c16="http://schemas.microsoft.com/office/drawing/2014/chart" uri="{C3380CC4-5D6E-409C-BE32-E72D297353CC}">
              <c16:uniqueId val="{0000000C-87D3-415F-AF39-6B36B004E4E8}"/>
            </c:ext>
          </c:extLst>
        </c:ser>
        <c:dLbls>
          <c:showLegendKey val="0"/>
          <c:showVal val="0"/>
          <c:showCatName val="0"/>
          <c:showSerName val="0"/>
          <c:showPercent val="0"/>
          <c:showBubbleSize val="0"/>
        </c:dLbls>
        <c:axId val="599810312"/>
        <c:axId val="599814248"/>
      </c:scatterChart>
      <c:catAx>
        <c:axId val="58006280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0066744"/>
        <c:crosses val="autoZero"/>
        <c:auto val="1"/>
        <c:lblAlgn val="ctr"/>
        <c:lblOffset val="100"/>
        <c:noMultiLvlLbl val="0"/>
      </c:catAx>
      <c:valAx>
        <c:axId val="580066744"/>
        <c:scaling>
          <c:logBase val="10"/>
          <c:orientation val="minMax"/>
          <c:min val="1.0000000000000005E-7"/>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Excess Cancer Risk</a:t>
                </a:r>
              </a:p>
            </c:rich>
          </c:tx>
          <c:layout>
            <c:manualLayout>
              <c:xMode val="edge"/>
              <c:yMode val="edge"/>
              <c:x val="0.36584643797039879"/>
              <c:y val="0.9103309379643723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E+0" sourceLinked="0"/>
        <c:majorTickMark val="none"/>
        <c:minorTickMark val="none"/>
        <c:tickLblPos val="high"/>
        <c:spPr>
          <a:noFill/>
          <a:ln w="12700">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0062808"/>
        <c:crosses val="autoZero"/>
        <c:crossBetween val="between"/>
      </c:valAx>
      <c:valAx>
        <c:axId val="599814248"/>
        <c:scaling>
          <c:orientation val="minMax"/>
          <c:max val="7"/>
        </c:scaling>
        <c:delete val="1"/>
        <c:axPos val="l"/>
        <c:numFmt formatCode="General" sourceLinked="1"/>
        <c:majorTickMark val="out"/>
        <c:minorTickMark val="none"/>
        <c:tickLblPos val="nextTo"/>
        <c:crossAx val="599810312"/>
        <c:crosses val="autoZero"/>
        <c:crossBetween val="midCat"/>
      </c:valAx>
      <c:valAx>
        <c:axId val="599810312"/>
        <c:scaling>
          <c:logBase val="10"/>
          <c:orientation val="minMax"/>
          <c:max val="1"/>
          <c:min val="1.0000000000000005E-7"/>
        </c:scaling>
        <c:delete val="0"/>
        <c:axPos val="t"/>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599814248"/>
        <c:crosses val="max"/>
        <c:crossBetween val="midCat"/>
      </c:valAx>
      <c:spPr>
        <a:noFill/>
        <a:ln>
          <a:solidFill>
            <a:sysClr val="windowText" lastClr="000000"/>
          </a:solidFill>
        </a:ln>
        <a:effectLst/>
      </c:spPr>
    </c:plotArea>
    <c:legend>
      <c:legendPos val="r"/>
      <c:legendEntry>
        <c:idx val="2"/>
        <c:delete val="1"/>
      </c:legendEntry>
      <c:legendEntry>
        <c:idx val="3"/>
        <c:delete val="1"/>
      </c:legendEntry>
      <c:legendEntry>
        <c:idx val="4"/>
        <c:delete val="1"/>
      </c:legendEntry>
      <c:layout>
        <c:manualLayout>
          <c:xMode val="edge"/>
          <c:yMode val="edge"/>
          <c:x val="0.83664329828752293"/>
          <c:y val="0.43264170546451891"/>
          <c:w val="0.15639498764417403"/>
          <c:h val="0.13427161450956421"/>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1027907</xdr:colOff>
      <xdr:row>85</xdr:row>
      <xdr:rowOff>136253</xdr:rowOff>
    </xdr:from>
    <xdr:to>
      <xdr:col>8</xdr:col>
      <xdr:colOff>230188</xdr:colOff>
      <xdr:row>109</xdr:row>
      <xdr:rowOff>111317</xdr:rowOff>
    </xdr:to>
    <xdr:graphicFrame macro="">
      <xdr:nvGraphicFramePr>
        <xdr:cNvPr id="5" name="Chart 4">
          <a:extLst>
            <a:ext uri="{FF2B5EF4-FFF2-40B4-BE49-F238E27FC236}">
              <a16:creationId xmlns:a16="http://schemas.microsoft.com/office/drawing/2014/main" id="{832C5013-7CF2-45A4-949B-A8188FC121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174624</xdr:colOff>
      <xdr:row>83</xdr:row>
      <xdr:rowOff>3175</xdr:rowOff>
    </xdr:from>
    <xdr:to>
      <xdr:col>18</xdr:col>
      <xdr:colOff>309562</xdr:colOff>
      <xdr:row>106</xdr:row>
      <xdr:rowOff>59531</xdr:rowOff>
    </xdr:to>
    <xdr:graphicFrame macro="">
      <xdr:nvGraphicFramePr>
        <xdr:cNvPr id="4" name="Chart 3">
          <a:extLst>
            <a:ext uri="{FF2B5EF4-FFF2-40B4-BE49-F238E27FC236}">
              <a16:creationId xmlns:a16="http://schemas.microsoft.com/office/drawing/2014/main" id="{6D44F927-EF62-4C3A-BF89-894B6498E2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58</xdr:row>
      <xdr:rowOff>1</xdr:rowOff>
    </xdr:from>
    <xdr:to>
      <xdr:col>13</xdr:col>
      <xdr:colOff>750093</xdr:colOff>
      <xdr:row>78</xdr:row>
      <xdr:rowOff>107158</xdr:rowOff>
    </xdr:to>
    <xdr:graphicFrame macro="">
      <xdr:nvGraphicFramePr>
        <xdr:cNvPr id="2" name="Chart 1">
          <a:extLst>
            <a:ext uri="{FF2B5EF4-FFF2-40B4-BE49-F238E27FC236}">
              <a16:creationId xmlns:a16="http://schemas.microsoft.com/office/drawing/2014/main" id="{8CB4247C-332E-4763-97FF-EFEB2DD09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51593</xdr:colOff>
      <xdr:row>1</xdr:row>
      <xdr:rowOff>-1</xdr:rowOff>
    </xdr:from>
    <xdr:to>
      <xdr:col>5</xdr:col>
      <xdr:colOff>690561</xdr:colOff>
      <xdr:row>6</xdr:row>
      <xdr:rowOff>35718</xdr:rowOff>
    </xdr:to>
    <xdr:sp macro="" textlink="">
      <xdr:nvSpPr>
        <xdr:cNvPr id="4" name="TextBox 3">
          <a:extLst>
            <a:ext uri="{FF2B5EF4-FFF2-40B4-BE49-F238E27FC236}">
              <a16:creationId xmlns:a16="http://schemas.microsoft.com/office/drawing/2014/main" id="{2C23DA81-FB55-437E-9302-C2E02213CA4A}"/>
            </a:ext>
          </a:extLst>
        </xdr:cNvPr>
        <xdr:cNvSpPr txBox="1"/>
      </xdr:nvSpPr>
      <xdr:spPr>
        <a:xfrm>
          <a:off x="206374" y="166687"/>
          <a:ext cx="4127500" cy="1023937"/>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b="1"/>
            <a:t>Key</a:t>
          </a:r>
          <a:endParaRPr lang="en-US" sz="1000"/>
        </a:p>
        <a:p>
          <a:r>
            <a:rPr lang="en-US" sz="1000"/>
            <a:t>             =  </a:t>
          </a:r>
          <a:r>
            <a:rPr lang="en-US" sz="1000">
              <a:solidFill>
                <a:srgbClr val="FF0000"/>
              </a:solidFill>
            </a:rPr>
            <a:t>Risk</a:t>
          </a:r>
          <a:r>
            <a:rPr lang="en-US" sz="1000"/>
            <a:t>.  </a:t>
          </a:r>
          <a:r>
            <a:rPr lang="en-US" sz="1000" baseline="0"/>
            <a:t>       </a:t>
          </a:r>
          <a:r>
            <a:rPr lang="en-US" sz="1000" i="1"/>
            <a:t>MOE</a:t>
          </a:r>
          <a:r>
            <a:rPr lang="en-US" sz="1000" i="1" baseline="-25000"/>
            <a:t>acute or chronic</a:t>
          </a:r>
          <a:r>
            <a:rPr lang="en-US" sz="1000" i="1" baseline="0"/>
            <a:t> &lt; MOE</a:t>
          </a:r>
          <a:r>
            <a:rPr lang="en-US" sz="1000" i="1" baseline="-25000"/>
            <a:t>benchmark</a:t>
          </a:r>
          <a:endParaRPr lang="en-US" sz="1000" i="0" baseline="0"/>
        </a:p>
        <a:p>
          <a:r>
            <a:rPr lang="en-US" sz="1000" i="0" baseline="0"/>
            <a:t>                                  </a:t>
          </a:r>
          <a:r>
            <a:rPr lang="en-US" sz="1000" i="1" baseline="0"/>
            <a:t>Cancer Risk &gt; Benchmark Cancer Risk Level</a:t>
          </a:r>
        </a:p>
        <a:p>
          <a:endParaRPr lang="en-US" sz="1000" i="1" baseline="0"/>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mn-lt"/>
              <a:ea typeface="+mn-ea"/>
              <a:cs typeface="+mn-cs"/>
            </a:rPr>
            <a:t>             =  </a:t>
          </a:r>
          <a:r>
            <a:rPr lang="en-US" sz="1000">
              <a:solidFill>
                <a:srgbClr val="339933"/>
              </a:solidFill>
              <a:latin typeface="+mn-lt"/>
              <a:ea typeface="+mn-ea"/>
              <a:cs typeface="+mn-cs"/>
            </a:rPr>
            <a:t>No Risk</a:t>
          </a:r>
          <a:r>
            <a:rPr lang="en-US" sz="1000">
              <a:solidFill>
                <a:schemeClr val="dk1"/>
              </a:solidFill>
              <a:latin typeface="+mn-lt"/>
              <a:ea typeface="+mn-ea"/>
              <a:cs typeface="+mn-cs"/>
            </a:rPr>
            <a:t>.   </a:t>
          </a:r>
          <a:r>
            <a:rPr lang="en-US" sz="1000" i="1">
              <a:solidFill>
                <a:schemeClr val="dk1"/>
              </a:solidFill>
              <a:latin typeface="+mn-lt"/>
              <a:ea typeface="+mn-ea"/>
              <a:cs typeface="+mn-cs"/>
            </a:rPr>
            <a:t>MOE</a:t>
          </a:r>
          <a:r>
            <a:rPr lang="en-US" sz="1000" i="1" baseline="-25000">
              <a:solidFill>
                <a:schemeClr val="dk1"/>
              </a:solidFill>
              <a:latin typeface="+mn-lt"/>
              <a:ea typeface="+mn-ea"/>
              <a:cs typeface="+mn-cs"/>
            </a:rPr>
            <a:t>acute or chronic</a:t>
          </a:r>
          <a:r>
            <a:rPr lang="en-US" sz="1000" i="1" baseline="0">
              <a:solidFill>
                <a:schemeClr val="dk1"/>
              </a:solidFill>
              <a:latin typeface="+mn-lt"/>
              <a:ea typeface="+mn-ea"/>
              <a:cs typeface="+mn-cs"/>
            </a:rPr>
            <a:t> ≥ MOE</a:t>
          </a:r>
          <a:r>
            <a:rPr lang="en-US" sz="1000" i="1" baseline="-25000">
              <a:solidFill>
                <a:schemeClr val="dk1"/>
              </a:solidFill>
              <a:latin typeface="+mn-lt"/>
              <a:ea typeface="+mn-ea"/>
              <a:cs typeface="+mn-cs"/>
            </a:rPr>
            <a:t>benchmark</a:t>
          </a:r>
          <a:endParaRPr lang="en-US" sz="1000" i="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00" i="0" baseline="0">
              <a:solidFill>
                <a:schemeClr val="dk1"/>
              </a:solidFill>
              <a:latin typeface="+mn-lt"/>
              <a:ea typeface="+mn-ea"/>
              <a:cs typeface="+mn-cs"/>
            </a:rPr>
            <a:t>                                  </a:t>
          </a:r>
          <a:r>
            <a:rPr lang="en-US" sz="1000" i="1" baseline="0">
              <a:solidFill>
                <a:schemeClr val="dk1"/>
              </a:solidFill>
              <a:latin typeface="+mn-lt"/>
              <a:ea typeface="+mn-ea"/>
              <a:cs typeface="+mn-cs"/>
            </a:rPr>
            <a:t>Cancer Risk ≤ Benchmark Cancer Risk Level</a:t>
          </a:r>
          <a:endParaRPr lang="en-US" sz="1000" i="1">
            <a:solidFill>
              <a:schemeClr val="dk1"/>
            </a:solidFill>
            <a:latin typeface="+mn-lt"/>
            <a:ea typeface="+mn-ea"/>
            <a:cs typeface="+mn-cs"/>
          </a:endParaRPr>
        </a:p>
      </xdr:txBody>
    </xdr:sp>
    <xdr:clientData/>
  </xdr:twoCellAnchor>
  <xdr:twoCellAnchor>
    <xdr:from>
      <xdr:col>17</xdr:col>
      <xdr:colOff>15874</xdr:colOff>
      <xdr:row>57</xdr:row>
      <xdr:rowOff>161926</xdr:rowOff>
    </xdr:from>
    <xdr:to>
      <xdr:col>23</xdr:col>
      <xdr:colOff>785811</xdr:colOff>
      <xdr:row>78</xdr:row>
      <xdr:rowOff>82211</xdr:rowOff>
    </xdr:to>
    <xdr:graphicFrame macro="">
      <xdr:nvGraphicFramePr>
        <xdr:cNvPr id="6" name="Chart 5">
          <a:extLst>
            <a:ext uri="{FF2B5EF4-FFF2-40B4-BE49-F238E27FC236}">
              <a16:creationId xmlns:a16="http://schemas.microsoft.com/office/drawing/2014/main" id="{19EA0C69-D3DA-4DBA-AD02-2287026ADE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F0537-E5C4-4707-A268-AEAA2A512243}">
  <sheetPr>
    <tabColor rgb="FF92D050"/>
  </sheetPr>
  <dimension ref="A3:E11"/>
  <sheetViews>
    <sheetView tabSelected="1" zoomScale="90" zoomScaleNormal="90" workbookViewId="0">
      <selection activeCell="A7" sqref="A7:E7"/>
    </sheetView>
  </sheetViews>
  <sheetFormatPr defaultRowHeight="14.5" x14ac:dyDescent="0.35"/>
  <cols>
    <col min="1" max="1" width="13.36328125" customWidth="1"/>
    <col min="2" max="2" width="11.6328125" customWidth="1"/>
    <col min="3" max="3" width="10.7265625" customWidth="1"/>
    <col min="4" max="4" width="11.36328125" customWidth="1"/>
    <col min="5" max="5" width="11.81640625" customWidth="1"/>
  </cols>
  <sheetData>
    <row r="3" spans="1:5" ht="20" customHeight="1" x14ac:dyDescent="0.35">
      <c r="A3" s="715" t="s">
        <v>464</v>
      </c>
      <c r="B3" s="715"/>
      <c r="C3" s="715"/>
      <c r="D3" s="715"/>
      <c r="E3" s="715"/>
    </row>
    <row r="4" spans="1:5" ht="20" customHeight="1" x14ac:dyDescent="0.35">
      <c r="A4" s="715"/>
      <c r="B4" s="715"/>
      <c r="C4" s="715"/>
      <c r="D4" s="715"/>
      <c r="E4" s="715"/>
    </row>
    <row r="7" spans="1:5" ht="63" customHeight="1" x14ac:dyDescent="0.35">
      <c r="A7" s="715" t="s">
        <v>463</v>
      </c>
      <c r="B7" s="715"/>
      <c r="C7" s="715"/>
      <c r="D7" s="715"/>
      <c r="E7" s="715"/>
    </row>
    <row r="9" spans="1:5" ht="20" x14ac:dyDescent="0.35">
      <c r="A9" s="716" t="s">
        <v>451</v>
      </c>
      <c r="B9" s="716"/>
      <c r="C9" s="716"/>
      <c r="D9" s="716"/>
      <c r="E9" s="716"/>
    </row>
    <row r="11" spans="1:5" ht="17.5" x14ac:dyDescent="0.35">
      <c r="A11" s="717" t="s">
        <v>452</v>
      </c>
      <c r="B11" s="717"/>
      <c r="C11" s="717"/>
      <c r="D11" s="717"/>
      <c r="E11" s="717"/>
    </row>
  </sheetData>
  <sheetProtection algorithmName="SHA-512" hashValue="r4s5OoH0EDi/bfH4x3os8xtM9kF//F3CcUAxLzkgujwlSjUAIi5hypH6p6ZlGIIbWt+ElxoR5oQB5nTcLEWScw==" saltValue="nVKyi+sPFjvwP8o7eBUdxA==" spinCount="100000" sheet="1" objects="1" scenarios="1"/>
  <mergeCells count="4">
    <mergeCell ref="A7:E7"/>
    <mergeCell ref="A3:E4"/>
    <mergeCell ref="A9:E9"/>
    <mergeCell ref="A11:E1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EE2DC-4EE0-4CF0-B381-0DF510B873A9}">
  <sheetPr codeName="Sheet9">
    <tabColor theme="1"/>
  </sheetPr>
  <dimension ref="A1:O62"/>
  <sheetViews>
    <sheetView workbookViewId="0"/>
  </sheetViews>
  <sheetFormatPr defaultRowHeight="14.5" x14ac:dyDescent="0.35"/>
  <cols>
    <col min="2" max="2" width="59.81640625" bestFit="1" customWidth="1"/>
    <col min="4" max="4" width="38.7265625" customWidth="1"/>
    <col min="5" max="5" width="21" customWidth="1"/>
    <col min="6" max="6" width="37.1796875" customWidth="1"/>
    <col min="7" max="7" width="25" customWidth="1"/>
    <col min="10" max="10" width="48.26953125" customWidth="1"/>
    <col min="11" max="11" width="9.26953125" customWidth="1"/>
    <col min="12" max="12" width="46" hidden="1" customWidth="1"/>
    <col min="13" max="13" width="14.1796875" hidden="1" customWidth="1"/>
    <col min="14" max="14" width="65.453125" hidden="1" customWidth="1"/>
    <col min="15" max="15" width="9.1796875" hidden="1" customWidth="1"/>
  </cols>
  <sheetData>
    <row r="1" spans="1:15" ht="16" thickBot="1" x14ac:dyDescent="0.4">
      <c r="A1" s="142"/>
      <c r="B1" s="182" t="s">
        <v>412</v>
      </c>
      <c r="C1" s="141"/>
      <c r="D1" s="110" t="s">
        <v>413</v>
      </c>
      <c r="E1" s="141"/>
      <c r="F1" s="110" t="s">
        <v>414</v>
      </c>
      <c r="G1" s="141"/>
      <c r="H1" s="141"/>
      <c r="I1" s="141"/>
      <c r="J1" s="141"/>
    </row>
    <row r="2" spans="1:15" ht="15" thickTop="1" x14ac:dyDescent="0.35">
      <c r="A2" s="143"/>
      <c r="B2" s="181" t="s">
        <v>9</v>
      </c>
      <c r="C2" s="141"/>
      <c r="D2" s="59" t="s">
        <v>10</v>
      </c>
      <c r="E2" s="141"/>
      <c r="F2" s="57" t="s">
        <v>31</v>
      </c>
      <c r="G2" s="141"/>
      <c r="H2" s="141"/>
      <c r="I2" s="141"/>
      <c r="J2" s="141"/>
      <c r="L2" s="183" t="s">
        <v>9</v>
      </c>
      <c r="M2" s="177" t="s">
        <v>10</v>
      </c>
      <c r="N2" s="453" t="str">
        <f>L2&amp;M2</f>
        <v>Manufacturing - 8-hr TWAMonitoring Data</v>
      </c>
      <c r="O2" s="176" t="s">
        <v>326</v>
      </c>
    </row>
    <row r="3" spans="1:15" ht="15" thickBot="1" x14ac:dyDescent="0.4">
      <c r="A3" s="143"/>
      <c r="B3" s="181" t="s">
        <v>256</v>
      </c>
      <c r="C3" s="141"/>
      <c r="D3" s="60" t="s">
        <v>340</v>
      </c>
      <c r="E3" s="141"/>
      <c r="F3" s="58" t="s">
        <v>34</v>
      </c>
      <c r="G3" s="141"/>
      <c r="H3" s="141"/>
      <c r="I3" s="141"/>
      <c r="J3" s="141"/>
      <c r="L3" s="183" t="s">
        <v>9</v>
      </c>
      <c r="M3" s="177" t="s">
        <v>10</v>
      </c>
      <c r="N3" s="453" t="str">
        <f t="shared" ref="N3:N62" si="0">L3&amp;M3</f>
        <v>Manufacturing - 8-hr TWAMonitoring Data</v>
      </c>
      <c r="O3" s="176" t="s">
        <v>326</v>
      </c>
    </row>
    <row r="4" spans="1:15" ht="15" thickBot="1" x14ac:dyDescent="0.4">
      <c r="A4" s="143"/>
      <c r="B4" s="181" t="s">
        <v>257</v>
      </c>
      <c r="C4" s="141"/>
      <c r="D4" s="141"/>
      <c r="E4" s="141"/>
      <c r="F4" s="145"/>
      <c r="G4" s="141"/>
      <c r="H4" s="141"/>
      <c r="I4" s="141"/>
      <c r="J4" s="141"/>
      <c r="L4" s="183" t="s">
        <v>256</v>
      </c>
      <c r="M4" s="177" t="s">
        <v>10</v>
      </c>
      <c r="N4" s="453" t="str">
        <f t="shared" si="0"/>
        <v>Manufacturing - 12-hr TWAMonitoring Data</v>
      </c>
      <c r="O4" s="176" t="s">
        <v>329</v>
      </c>
    </row>
    <row r="5" spans="1:15" ht="16" thickBot="1" x14ac:dyDescent="0.4">
      <c r="A5" s="143"/>
      <c r="B5" s="181" t="s">
        <v>258</v>
      </c>
      <c r="C5" s="141"/>
      <c r="D5" s="110" t="s">
        <v>305</v>
      </c>
      <c r="E5" s="141"/>
      <c r="F5" s="110" t="s">
        <v>415</v>
      </c>
      <c r="G5" s="111" t="s">
        <v>416</v>
      </c>
      <c r="H5" s="111" t="s">
        <v>417</v>
      </c>
      <c r="I5" s="146"/>
      <c r="J5" s="144"/>
      <c r="L5" s="183" t="s">
        <v>256</v>
      </c>
      <c r="M5" s="177" t="s">
        <v>10</v>
      </c>
      <c r="N5" s="453" t="str">
        <f t="shared" si="0"/>
        <v>Manufacturing - 12-hr TWAMonitoring Data</v>
      </c>
      <c r="O5" s="176" t="s">
        <v>329</v>
      </c>
    </row>
    <row r="6" spans="1:15" ht="15" thickTop="1" x14ac:dyDescent="0.35">
      <c r="A6" s="143"/>
      <c r="B6" s="181" t="s">
        <v>259</v>
      </c>
      <c r="C6" s="141"/>
      <c r="D6" s="129" t="s">
        <v>11</v>
      </c>
      <c r="E6" s="141"/>
      <c r="F6" s="135" t="s">
        <v>418</v>
      </c>
      <c r="G6" s="136">
        <v>165.83</v>
      </c>
      <c r="H6" s="137" t="s">
        <v>235</v>
      </c>
      <c r="I6" s="146"/>
      <c r="J6" s="141"/>
      <c r="L6" s="183" t="s">
        <v>257</v>
      </c>
      <c r="M6" s="177" t="s">
        <v>10</v>
      </c>
      <c r="N6" s="453" t="str">
        <f t="shared" si="0"/>
        <v>RepackagingMonitoring Data</v>
      </c>
      <c r="O6" s="176">
        <v>11</v>
      </c>
    </row>
    <row r="7" spans="1:15" ht="15" thickBot="1" x14ac:dyDescent="0.4">
      <c r="A7" s="143"/>
      <c r="B7" s="181" t="s">
        <v>260</v>
      </c>
      <c r="C7" s="141"/>
      <c r="D7" s="130" t="s">
        <v>396</v>
      </c>
      <c r="E7" s="141"/>
      <c r="F7" s="125" t="s">
        <v>236</v>
      </c>
      <c r="G7" s="138">
        <v>0.10199999999999999</v>
      </c>
      <c r="H7" s="124" t="s">
        <v>237</v>
      </c>
      <c r="I7" s="146"/>
      <c r="J7" s="141"/>
      <c r="L7" s="183" t="s">
        <v>258</v>
      </c>
      <c r="M7" s="177" t="s">
        <v>10</v>
      </c>
      <c r="N7" s="453" t="str">
        <f t="shared" si="0"/>
        <v>Processing as Reactant/Intermediate - 8-hr TWAMonitoring Data</v>
      </c>
      <c r="O7" s="176" t="s">
        <v>333</v>
      </c>
    </row>
    <row r="8" spans="1:15" ht="15" thickBot="1" x14ac:dyDescent="0.4">
      <c r="A8" s="143"/>
      <c r="B8" s="181" t="s">
        <v>261</v>
      </c>
      <c r="C8" s="141"/>
      <c r="D8" s="142"/>
      <c r="E8" s="141"/>
      <c r="F8" s="146"/>
      <c r="G8" s="146"/>
      <c r="H8" s="146"/>
      <c r="I8" s="146"/>
      <c r="J8" s="145"/>
      <c r="L8" s="183" t="s">
        <v>258</v>
      </c>
      <c r="M8" s="177" t="s">
        <v>10</v>
      </c>
      <c r="N8" s="453" t="str">
        <f t="shared" si="0"/>
        <v>Processing as Reactant/Intermediate - 8-hr TWAMonitoring Data</v>
      </c>
      <c r="O8" s="176" t="s">
        <v>333</v>
      </c>
    </row>
    <row r="9" spans="1:15" ht="16" thickBot="1" x14ac:dyDescent="0.4">
      <c r="A9" s="143"/>
      <c r="B9" s="181" t="s">
        <v>262</v>
      </c>
      <c r="C9" s="141"/>
      <c r="D9" s="110" t="s">
        <v>419</v>
      </c>
      <c r="E9" s="141"/>
      <c r="F9" s="110" t="s">
        <v>420</v>
      </c>
      <c r="G9" s="111" t="s">
        <v>421</v>
      </c>
      <c r="H9" s="111" t="s">
        <v>416</v>
      </c>
      <c r="I9" s="111" t="s">
        <v>417</v>
      </c>
      <c r="J9" s="141"/>
      <c r="L9" s="183" t="s">
        <v>259</v>
      </c>
      <c r="M9" s="177" t="s">
        <v>10</v>
      </c>
      <c r="N9" s="453" t="str">
        <f t="shared" si="0"/>
        <v>Processing as Reactant/Intermediate - 12-hr TWAMonitoring Data</v>
      </c>
      <c r="O9" s="176" t="s">
        <v>335</v>
      </c>
    </row>
    <row r="10" spans="1:15" ht="15" thickTop="1" x14ac:dyDescent="0.35">
      <c r="A10" s="143"/>
      <c r="B10" s="181" t="s">
        <v>263</v>
      </c>
      <c r="C10" s="141"/>
      <c r="D10" s="139">
        <v>0.5</v>
      </c>
      <c r="E10" s="141"/>
      <c r="F10" s="147" t="s">
        <v>422</v>
      </c>
      <c r="G10" s="148" t="s">
        <v>423</v>
      </c>
      <c r="H10" s="148">
        <v>8</v>
      </c>
      <c r="I10" s="149" t="s">
        <v>424</v>
      </c>
      <c r="J10" s="141"/>
      <c r="L10" s="183" t="s">
        <v>259</v>
      </c>
      <c r="M10" s="177" t="s">
        <v>10</v>
      </c>
      <c r="N10" s="453" t="str">
        <f t="shared" si="0"/>
        <v>Processing as Reactant/Intermediate - 12-hr TWAMonitoring Data</v>
      </c>
      <c r="O10" s="176" t="s">
        <v>335</v>
      </c>
    </row>
    <row r="11" spans="1:15" ht="15" thickBot="1" x14ac:dyDescent="0.4">
      <c r="A11" s="143"/>
      <c r="B11" s="181" t="s">
        <v>264</v>
      </c>
      <c r="C11" s="141"/>
      <c r="D11" s="140">
        <v>0.99</v>
      </c>
      <c r="E11" s="141"/>
      <c r="F11" s="126" t="s">
        <v>425</v>
      </c>
      <c r="G11" s="127" t="s">
        <v>426</v>
      </c>
      <c r="H11" s="127">
        <v>12</v>
      </c>
      <c r="I11" s="128" t="s">
        <v>424</v>
      </c>
      <c r="J11" s="141"/>
      <c r="L11" s="183" t="s">
        <v>260</v>
      </c>
      <c r="M11" s="177" t="s">
        <v>10</v>
      </c>
      <c r="N11" s="453" t="str">
        <f t="shared" si="0"/>
        <v>Incorporation into Formulation - Aerosol PackingMonitoring Data</v>
      </c>
      <c r="O11" s="176" t="s">
        <v>336</v>
      </c>
    </row>
    <row r="12" spans="1:15" ht="15" thickBot="1" x14ac:dyDescent="0.4">
      <c r="A12" s="143"/>
      <c r="B12" s="181" t="s">
        <v>266</v>
      </c>
      <c r="C12" s="141"/>
      <c r="D12" s="141"/>
      <c r="E12" s="141"/>
      <c r="F12" s="126" t="s">
        <v>427</v>
      </c>
      <c r="G12" s="127" t="s">
        <v>428</v>
      </c>
      <c r="H12" s="127">
        <v>24</v>
      </c>
      <c r="I12" s="128" t="s">
        <v>424</v>
      </c>
      <c r="J12" s="141"/>
      <c r="L12" s="183" t="s">
        <v>261</v>
      </c>
      <c r="M12" s="177" t="s">
        <v>340</v>
      </c>
      <c r="N12" s="453" t="str">
        <f t="shared" si="0"/>
        <v>Incorporation into Formulation - Degreasing SolventModeled Data</v>
      </c>
      <c r="O12" s="176" t="s">
        <v>338</v>
      </c>
    </row>
    <row r="13" spans="1:15" ht="18" customHeight="1" thickBot="1" x14ac:dyDescent="0.4">
      <c r="A13" s="143"/>
      <c r="B13" s="181" t="s">
        <v>267</v>
      </c>
      <c r="C13" s="141"/>
      <c r="D13" s="110" t="s">
        <v>429</v>
      </c>
      <c r="E13" s="141"/>
      <c r="F13" s="126" t="s">
        <v>430</v>
      </c>
      <c r="G13" s="127" t="s">
        <v>431</v>
      </c>
      <c r="H13" s="127">
        <v>250</v>
      </c>
      <c r="I13" s="128" t="s">
        <v>432</v>
      </c>
      <c r="J13" s="141"/>
      <c r="L13" s="183" t="s">
        <v>262</v>
      </c>
      <c r="M13" s="177" t="s">
        <v>340</v>
      </c>
      <c r="N13" s="453" t="str">
        <f t="shared" si="0"/>
        <v>Incorporation into Formulation - Dry Cleaning SolventModeled Data</v>
      </c>
      <c r="O13" s="176" t="s">
        <v>341</v>
      </c>
    </row>
    <row r="14" spans="1:15" ht="15" thickTop="1" x14ac:dyDescent="0.35">
      <c r="A14" s="142"/>
      <c r="B14" s="181" t="s">
        <v>268</v>
      </c>
      <c r="C14" s="141"/>
      <c r="D14" s="59">
        <v>10</v>
      </c>
      <c r="E14" s="141"/>
      <c r="F14" s="126" t="s">
        <v>433</v>
      </c>
      <c r="G14" s="127" t="s">
        <v>434</v>
      </c>
      <c r="H14" s="127">
        <v>31</v>
      </c>
      <c r="I14" s="128" t="s">
        <v>435</v>
      </c>
      <c r="J14" s="141"/>
      <c r="L14" s="183" t="s">
        <v>263</v>
      </c>
      <c r="M14" s="177" t="s">
        <v>340</v>
      </c>
      <c r="N14" s="453" t="str">
        <f t="shared" si="0"/>
        <v>Incorporation into Formulation - MiscellaneousModeled Data</v>
      </c>
      <c r="O14" s="176" t="s">
        <v>342</v>
      </c>
    </row>
    <row r="15" spans="1:15" x14ac:dyDescent="0.35">
      <c r="A15" s="143"/>
      <c r="B15" s="181" t="s">
        <v>269</v>
      </c>
      <c r="C15" s="141"/>
      <c r="D15" s="59">
        <v>25</v>
      </c>
      <c r="E15" s="141"/>
      <c r="F15" s="126" t="s">
        <v>436</v>
      </c>
      <c r="G15" s="127" t="s">
        <v>437</v>
      </c>
      <c r="H15" s="127">
        <v>40</v>
      </c>
      <c r="I15" s="128" t="s">
        <v>435</v>
      </c>
      <c r="J15" s="141"/>
      <c r="L15" s="183" t="s">
        <v>264</v>
      </c>
      <c r="M15" s="177" t="s">
        <v>10</v>
      </c>
      <c r="N15" s="453" t="str">
        <f t="shared" si="0"/>
        <v>Open-top Vapor DegreasingMonitoring Data</v>
      </c>
      <c r="O15" s="176" t="s">
        <v>343</v>
      </c>
    </row>
    <row r="16" spans="1:15" x14ac:dyDescent="0.35">
      <c r="A16" s="143"/>
      <c r="B16" s="181" t="s">
        <v>270</v>
      </c>
      <c r="C16" s="141"/>
      <c r="D16" s="59">
        <v>50</v>
      </c>
      <c r="E16" s="141"/>
      <c r="F16" s="126" t="s">
        <v>438</v>
      </c>
      <c r="G16" s="127" t="s">
        <v>439</v>
      </c>
      <c r="H16" s="127">
        <v>78</v>
      </c>
      <c r="I16" s="128" t="s">
        <v>435</v>
      </c>
      <c r="J16" s="141"/>
      <c r="L16" s="183" t="s">
        <v>264</v>
      </c>
      <c r="M16" s="177" t="s">
        <v>10</v>
      </c>
      <c r="N16" s="453" t="str">
        <f t="shared" si="0"/>
        <v>Open-top Vapor DegreasingMonitoring Data</v>
      </c>
      <c r="O16" s="176" t="s">
        <v>343</v>
      </c>
    </row>
    <row r="17" spans="1:15" x14ac:dyDescent="0.35">
      <c r="A17" s="143"/>
      <c r="B17" s="181" t="s">
        <v>271</v>
      </c>
      <c r="C17" s="141"/>
      <c r="D17" s="59">
        <v>1000</v>
      </c>
      <c r="E17" s="141"/>
      <c r="F17" s="126" t="s">
        <v>440</v>
      </c>
      <c r="G17" s="127" t="s">
        <v>441</v>
      </c>
      <c r="H17" s="150">
        <f>WY_mid*365*24</f>
        <v>271560</v>
      </c>
      <c r="I17" s="128" t="s">
        <v>442</v>
      </c>
      <c r="J17" s="141"/>
      <c r="L17" s="183" t="s">
        <v>266</v>
      </c>
      <c r="M17" s="177" t="s">
        <v>10</v>
      </c>
      <c r="N17" s="453" t="str">
        <f t="shared" si="0"/>
        <v>Closed Loop Vapor DegreasingMonitoring Data</v>
      </c>
      <c r="O17" s="176">
        <v>3</v>
      </c>
    </row>
    <row r="18" spans="1:15" ht="15" thickBot="1" x14ac:dyDescent="0.4">
      <c r="A18" s="143"/>
      <c r="B18" s="181" t="s">
        <v>272</v>
      </c>
      <c r="C18" s="141"/>
      <c r="D18" s="60">
        <v>10000</v>
      </c>
      <c r="E18" s="141"/>
      <c r="F18" s="126" t="s">
        <v>443</v>
      </c>
      <c r="G18" s="127" t="s">
        <v>444</v>
      </c>
      <c r="H18" s="150">
        <f>WY_high*365*24</f>
        <v>350400</v>
      </c>
      <c r="I18" s="128" t="s">
        <v>442</v>
      </c>
      <c r="J18" s="144"/>
      <c r="L18" s="183" t="s">
        <v>266</v>
      </c>
      <c r="M18" s="177" t="s">
        <v>10</v>
      </c>
      <c r="N18" s="453" t="str">
        <f t="shared" si="0"/>
        <v>Closed Loop Vapor DegreasingMonitoring Data</v>
      </c>
      <c r="O18" s="176">
        <v>3</v>
      </c>
    </row>
    <row r="19" spans="1:15" ht="15" thickBot="1" x14ac:dyDescent="0.4">
      <c r="A19" s="143"/>
      <c r="B19" s="181" t="s">
        <v>273</v>
      </c>
      <c r="C19" s="141"/>
      <c r="D19" s="141"/>
      <c r="E19" s="141"/>
      <c r="F19" s="125" t="s">
        <v>445</v>
      </c>
      <c r="G19" s="138" t="s">
        <v>446</v>
      </c>
      <c r="H19" s="151">
        <f>LT*365*24</f>
        <v>683280</v>
      </c>
      <c r="I19" s="124" t="s">
        <v>442</v>
      </c>
      <c r="J19" s="144"/>
      <c r="L19" s="183" t="s">
        <v>267</v>
      </c>
      <c r="M19" s="177" t="s">
        <v>340</v>
      </c>
      <c r="N19" s="453" t="str">
        <f t="shared" si="0"/>
        <v>Conveyorized Vapor DegreasingModeled Data</v>
      </c>
      <c r="O19" s="176">
        <v>4</v>
      </c>
    </row>
    <row r="20" spans="1:15" ht="16" thickBot="1" x14ac:dyDescent="0.4">
      <c r="A20" s="143"/>
      <c r="B20" s="181" t="s">
        <v>274</v>
      </c>
      <c r="C20" s="141"/>
      <c r="D20" s="110" t="s">
        <v>447</v>
      </c>
      <c r="E20" s="141"/>
      <c r="F20" s="141"/>
      <c r="G20" s="141"/>
      <c r="H20" s="141"/>
      <c r="I20" s="141"/>
      <c r="J20" s="141"/>
      <c r="L20" s="183" t="s">
        <v>267</v>
      </c>
      <c r="M20" s="177" t="s">
        <v>340</v>
      </c>
      <c r="N20" s="453" t="str">
        <f t="shared" si="0"/>
        <v>Conveyorized Vapor DegreasingModeled Data</v>
      </c>
      <c r="O20" s="176">
        <v>4</v>
      </c>
    </row>
    <row r="21" spans="1:15" ht="15" thickTop="1" x14ac:dyDescent="0.35">
      <c r="A21" s="143"/>
      <c r="B21" s="181" t="s">
        <v>275</v>
      </c>
      <c r="C21" s="141"/>
      <c r="D21" s="283">
        <v>5</v>
      </c>
      <c r="E21" s="284" t="s">
        <v>448</v>
      </c>
      <c r="F21" s="141"/>
      <c r="G21" s="141"/>
      <c r="H21" s="141"/>
      <c r="I21" s="141"/>
      <c r="J21" s="141"/>
      <c r="L21" s="183" t="s">
        <v>268</v>
      </c>
      <c r="M21" s="177" t="s">
        <v>340</v>
      </c>
      <c r="N21" s="453" t="str">
        <f t="shared" si="0"/>
        <v>Web DegreasingModeled Data</v>
      </c>
      <c r="O21" s="176">
        <v>5</v>
      </c>
    </row>
    <row r="22" spans="1:15" x14ac:dyDescent="0.35">
      <c r="A22" s="142"/>
      <c r="B22" s="181" t="s">
        <v>276</v>
      </c>
      <c r="C22" s="141"/>
      <c r="D22" s="59">
        <v>10</v>
      </c>
      <c r="E22" s="284" t="s">
        <v>449</v>
      </c>
      <c r="F22" s="141"/>
      <c r="G22" s="141"/>
      <c r="H22" s="141"/>
      <c r="I22" s="141"/>
      <c r="J22" s="141"/>
      <c r="L22" s="183" t="s">
        <v>268</v>
      </c>
      <c r="M22" s="177" t="s">
        <v>340</v>
      </c>
      <c r="N22" s="453" t="str">
        <f t="shared" si="0"/>
        <v>Web DegreasingModeled Data</v>
      </c>
      <c r="O22" s="176">
        <v>5</v>
      </c>
    </row>
    <row r="23" spans="1:15" ht="15" thickBot="1" x14ac:dyDescent="0.4">
      <c r="A23" s="142"/>
      <c r="B23" s="181" t="s">
        <v>277</v>
      </c>
      <c r="C23" s="141"/>
      <c r="D23" s="60">
        <v>20</v>
      </c>
      <c r="E23" s="284" t="s">
        <v>450</v>
      </c>
      <c r="F23" s="141"/>
      <c r="G23" s="141"/>
      <c r="H23" s="141"/>
      <c r="I23" s="141"/>
      <c r="J23" s="141"/>
      <c r="L23" s="183" t="s">
        <v>269</v>
      </c>
      <c r="M23" s="177" t="s">
        <v>10</v>
      </c>
      <c r="N23" s="453" t="str">
        <f t="shared" si="0"/>
        <v>Cold CleaningMonitoring Data</v>
      </c>
      <c r="O23" s="176" t="s">
        <v>350</v>
      </c>
    </row>
    <row r="24" spans="1:15" x14ac:dyDescent="0.35">
      <c r="A24" s="142"/>
      <c r="B24" s="181" t="s">
        <v>278</v>
      </c>
      <c r="C24" s="141"/>
      <c r="D24" s="141"/>
      <c r="E24" s="141"/>
      <c r="F24" s="141"/>
      <c r="G24" s="141"/>
      <c r="H24" s="141"/>
      <c r="I24" s="141"/>
      <c r="J24" s="141"/>
      <c r="L24" s="183" t="s">
        <v>269</v>
      </c>
      <c r="M24" s="177" t="s">
        <v>340</v>
      </c>
      <c r="N24" s="453" t="str">
        <f t="shared" si="0"/>
        <v>Cold CleaningModeled Data</v>
      </c>
      <c r="O24" s="176" t="s">
        <v>352</v>
      </c>
    </row>
    <row r="25" spans="1:15" x14ac:dyDescent="0.35">
      <c r="A25" s="142"/>
      <c r="B25" s="181" t="s">
        <v>279</v>
      </c>
      <c r="C25" s="141"/>
      <c r="D25" s="141"/>
      <c r="E25" s="141"/>
      <c r="F25" s="141"/>
      <c r="G25" s="141"/>
      <c r="H25" s="141"/>
      <c r="I25" s="141"/>
      <c r="J25" s="141"/>
      <c r="L25" s="183" t="s">
        <v>269</v>
      </c>
      <c r="M25" s="177" t="s">
        <v>340</v>
      </c>
      <c r="N25" s="453" t="str">
        <f t="shared" si="0"/>
        <v>Cold CleaningModeled Data</v>
      </c>
      <c r="O25" s="176" t="s">
        <v>352</v>
      </c>
    </row>
    <row r="26" spans="1:15" x14ac:dyDescent="0.35">
      <c r="A26" s="142"/>
      <c r="B26" s="181" t="s">
        <v>280</v>
      </c>
      <c r="C26" s="141"/>
      <c r="D26" s="141"/>
      <c r="E26" s="141"/>
      <c r="F26" s="141"/>
      <c r="G26" s="141"/>
      <c r="H26" s="141"/>
      <c r="I26" s="141"/>
      <c r="J26" s="141"/>
      <c r="L26" s="183" t="s">
        <v>270</v>
      </c>
      <c r="M26" s="177" t="s">
        <v>10</v>
      </c>
      <c r="N26" s="453" t="str">
        <f t="shared" si="0"/>
        <v>Aerosol Degreasing/LubricantsMonitoring Data</v>
      </c>
      <c r="O26" s="176" t="s">
        <v>354</v>
      </c>
    </row>
    <row r="27" spans="1:15" x14ac:dyDescent="0.35">
      <c r="A27" s="142"/>
      <c r="B27" s="181" t="s">
        <v>281</v>
      </c>
      <c r="C27" s="141"/>
      <c r="D27" s="141"/>
      <c r="E27" s="141"/>
      <c r="F27" s="141"/>
      <c r="G27" s="141"/>
      <c r="H27" s="141"/>
      <c r="I27" s="141"/>
      <c r="J27" s="141"/>
      <c r="L27" s="183" t="s">
        <v>270</v>
      </c>
      <c r="M27" s="177" t="s">
        <v>340</v>
      </c>
      <c r="N27" s="453" t="str">
        <f t="shared" si="0"/>
        <v>Aerosol Degreasing/LubricantsModeled Data</v>
      </c>
      <c r="O27" s="176" t="s">
        <v>356</v>
      </c>
    </row>
    <row r="28" spans="1:15" x14ac:dyDescent="0.35">
      <c r="A28" s="142"/>
      <c r="B28" s="181" t="s">
        <v>282</v>
      </c>
      <c r="C28" s="141"/>
      <c r="D28" s="141"/>
      <c r="E28" s="141"/>
      <c r="F28" s="141"/>
      <c r="G28" s="141"/>
      <c r="H28" s="141"/>
      <c r="I28" s="141"/>
      <c r="J28" s="141"/>
      <c r="L28" s="183" t="s">
        <v>270</v>
      </c>
      <c r="M28" s="177" t="s">
        <v>340</v>
      </c>
      <c r="N28" s="453" t="str">
        <f t="shared" si="0"/>
        <v>Aerosol Degreasing/LubricantsModeled Data</v>
      </c>
      <c r="O28" s="176" t="s">
        <v>356</v>
      </c>
    </row>
    <row r="29" spans="1:15" x14ac:dyDescent="0.35">
      <c r="A29" s="142"/>
      <c r="B29" s="181" t="s">
        <v>283</v>
      </c>
      <c r="C29" s="141"/>
      <c r="D29" s="141"/>
      <c r="E29" s="141"/>
      <c r="F29" s="141"/>
      <c r="G29" s="141"/>
      <c r="H29" s="141"/>
      <c r="I29" s="141"/>
      <c r="J29" s="141"/>
      <c r="L29" s="183" t="s">
        <v>271</v>
      </c>
      <c r="M29" s="177" t="s">
        <v>10</v>
      </c>
      <c r="N29" s="453" t="str">
        <f t="shared" si="0"/>
        <v>Post-2006 Dry Cleaning (including spot cleaning)Monitoring Data</v>
      </c>
      <c r="O29" s="176" t="s">
        <v>358</v>
      </c>
    </row>
    <row r="30" spans="1:15" x14ac:dyDescent="0.35">
      <c r="A30" s="141"/>
      <c r="B30" s="181" t="s">
        <v>284</v>
      </c>
      <c r="C30" s="141"/>
      <c r="D30" s="141"/>
      <c r="E30" s="141"/>
      <c r="F30" s="141"/>
      <c r="G30" s="141"/>
      <c r="H30" s="141"/>
      <c r="I30" s="141"/>
      <c r="J30" s="141"/>
      <c r="L30" s="183" t="s">
        <v>271</v>
      </c>
      <c r="M30" s="177" t="s">
        <v>10</v>
      </c>
      <c r="N30" s="453" t="str">
        <f t="shared" si="0"/>
        <v>Post-2006 Dry Cleaning (including spot cleaning)Monitoring Data</v>
      </c>
      <c r="O30" s="176" t="s">
        <v>358</v>
      </c>
    </row>
    <row r="31" spans="1:15" x14ac:dyDescent="0.35">
      <c r="A31" s="141"/>
      <c r="B31" s="181" t="s">
        <v>285</v>
      </c>
      <c r="C31" s="141"/>
      <c r="D31" s="141"/>
      <c r="E31" s="141"/>
      <c r="F31" s="141"/>
      <c r="G31" s="141"/>
      <c r="H31" s="141"/>
      <c r="I31" s="141"/>
      <c r="J31" s="141"/>
      <c r="L31" s="183" t="s">
        <v>272</v>
      </c>
      <c r="M31" s="177" t="s">
        <v>10</v>
      </c>
      <c r="N31" s="453" t="str">
        <f t="shared" si="0"/>
        <v>4th/5th Gen Only Dry Cleaning (including spot cleaning)Monitoring Data</v>
      </c>
      <c r="O31" s="176" t="s">
        <v>361</v>
      </c>
    </row>
    <row r="32" spans="1:15" x14ac:dyDescent="0.35">
      <c r="A32" s="141"/>
      <c r="B32" s="181" t="s">
        <v>286</v>
      </c>
      <c r="C32" s="141"/>
      <c r="D32" s="141"/>
      <c r="E32" s="141"/>
      <c r="F32" s="141"/>
      <c r="G32" s="141"/>
      <c r="H32" s="141"/>
      <c r="I32" s="141"/>
      <c r="J32" s="141"/>
      <c r="L32" s="183" t="s">
        <v>272</v>
      </c>
      <c r="M32" s="177" t="s">
        <v>10</v>
      </c>
      <c r="N32" s="453" t="str">
        <f t="shared" si="0"/>
        <v>4th/5th Gen Only Dry Cleaning (including spot cleaning)Monitoring Data</v>
      </c>
      <c r="O32" s="176" t="s">
        <v>361</v>
      </c>
    </row>
    <row r="33" spans="1:15" x14ac:dyDescent="0.35">
      <c r="A33" s="141"/>
      <c r="B33" s="181" t="s">
        <v>287</v>
      </c>
      <c r="C33" s="141"/>
      <c r="D33" s="141"/>
      <c r="E33" s="141"/>
      <c r="F33" s="141"/>
      <c r="G33" s="141"/>
      <c r="H33" s="141"/>
      <c r="I33" s="141"/>
      <c r="J33" s="141"/>
      <c r="L33" s="183" t="s">
        <v>271</v>
      </c>
      <c r="M33" s="177" t="s">
        <v>340</v>
      </c>
      <c r="N33" s="453" t="str">
        <f t="shared" si="0"/>
        <v>Post-2006 Dry Cleaning (including spot cleaning)Modeled Data</v>
      </c>
      <c r="O33" s="176" t="s">
        <v>363</v>
      </c>
    </row>
    <row r="34" spans="1:15" x14ac:dyDescent="0.35">
      <c r="A34" s="141"/>
      <c r="B34" s="181" t="s">
        <v>288</v>
      </c>
      <c r="C34" s="141"/>
      <c r="D34" s="141"/>
      <c r="E34" s="141"/>
      <c r="F34" s="141"/>
      <c r="G34" s="141"/>
      <c r="H34" s="141"/>
      <c r="I34" s="141"/>
      <c r="J34" s="141"/>
      <c r="L34" s="183" t="s">
        <v>271</v>
      </c>
      <c r="M34" s="177" t="s">
        <v>340</v>
      </c>
      <c r="N34" s="453" t="str">
        <f t="shared" si="0"/>
        <v>Post-2006 Dry Cleaning (including spot cleaning)Modeled Data</v>
      </c>
      <c r="O34" s="176" t="s">
        <v>363</v>
      </c>
    </row>
    <row r="35" spans="1:15" x14ac:dyDescent="0.35">
      <c r="A35" s="141"/>
      <c r="B35" s="181" t="s">
        <v>289</v>
      </c>
      <c r="C35" s="141"/>
      <c r="D35" s="141"/>
      <c r="E35" s="141"/>
      <c r="F35" s="141"/>
      <c r="G35" s="141"/>
      <c r="H35" s="141"/>
      <c r="I35" s="141"/>
      <c r="J35" s="141"/>
      <c r="L35" s="183" t="s">
        <v>273</v>
      </c>
      <c r="M35" s="177" t="s">
        <v>10</v>
      </c>
      <c r="N35" s="453" t="str">
        <f t="shared" si="0"/>
        <v>Paints/Coatings (commercial)Monitoring Data</v>
      </c>
      <c r="O35" s="176" t="s">
        <v>365</v>
      </c>
    </row>
    <row r="36" spans="1:15" x14ac:dyDescent="0.35">
      <c r="A36" s="141"/>
      <c r="B36" s="181" t="s">
        <v>290</v>
      </c>
      <c r="C36" s="141"/>
      <c r="D36" s="141"/>
      <c r="E36" s="141"/>
      <c r="F36" s="141"/>
      <c r="G36" s="141"/>
      <c r="H36" s="141"/>
      <c r="I36" s="141"/>
      <c r="J36" s="141"/>
      <c r="L36" s="183" t="s">
        <v>273</v>
      </c>
      <c r="M36" s="177" t="s">
        <v>79</v>
      </c>
      <c r="N36" s="453" t="str">
        <f t="shared" si="0"/>
        <v>Paints/Coatings (commercial)N/A</v>
      </c>
      <c r="O36" s="176" t="s">
        <v>365</v>
      </c>
    </row>
    <row r="37" spans="1:15" x14ac:dyDescent="0.35">
      <c r="A37" s="141"/>
      <c r="B37" s="181" t="s">
        <v>291</v>
      </c>
      <c r="C37" s="141"/>
      <c r="D37" s="141"/>
      <c r="E37" s="141"/>
      <c r="F37" s="141"/>
      <c r="G37" s="141"/>
      <c r="H37" s="141"/>
      <c r="I37" s="141"/>
      <c r="J37" s="141"/>
      <c r="L37" s="183" t="s">
        <v>274</v>
      </c>
      <c r="M37" s="177" t="s">
        <v>10</v>
      </c>
      <c r="N37" s="453" t="str">
        <f t="shared" si="0"/>
        <v>Paints/Coatings (industrial)Monitoring Data</v>
      </c>
      <c r="O37" s="176" t="s">
        <v>368</v>
      </c>
    </row>
    <row r="38" spans="1:15" x14ac:dyDescent="0.35">
      <c r="A38" s="141"/>
      <c r="B38" s="181" t="s">
        <v>292</v>
      </c>
      <c r="C38" s="141"/>
      <c r="D38" s="141"/>
      <c r="E38" s="141"/>
      <c r="F38" s="141"/>
      <c r="G38" s="141"/>
      <c r="H38" s="141"/>
      <c r="I38" s="141"/>
      <c r="J38" s="141"/>
      <c r="L38" s="183" t="s">
        <v>274</v>
      </c>
      <c r="M38" s="177" t="s">
        <v>79</v>
      </c>
      <c r="N38" s="453" t="str">
        <f t="shared" si="0"/>
        <v>Paints/Coatings (industrial)N/A</v>
      </c>
      <c r="O38" s="176" t="s">
        <v>368</v>
      </c>
    </row>
    <row r="39" spans="1:15" ht="15" thickBot="1" x14ac:dyDescent="0.4">
      <c r="A39" s="141"/>
      <c r="B39" s="476" t="s">
        <v>293</v>
      </c>
      <c r="C39" s="141"/>
      <c r="D39" s="141"/>
      <c r="E39" s="141"/>
      <c r="F39" s="141"/>
      <c r="G39" s="141"/>
      <c r="H39" s="141"/>
      <c r="I39" s="141"/>
      <c r="J39" s="141"/>
      <c r="L39" s="183" t="s">
        <v>275</v>
      </c>
      <c r="M39" s="177" t="s">
        <v>10</v>
      </c>
      <c r="N39" s="453" t="str">
        <f t="shared" si="0"/>
        <v>Adhesives (commercial)Monitoring Data</v>
      </c>
      <c r="O39" s="176" t="s">
        <v>369</v>
      </c>
    </row>
    <row r="40" spans="1:15" x14ac:dyDescent="0.35">
      <c r="A40" s="141"/>
      <c r="B40" s="141"/>
      <c r="C40" s="141"/>
      <c r="D40" s="141"/>
      <c r="E40" s="141"/>
      <c r="F40" s="141"/>
      <c r="G40" s="141"/>
      <c r="H40" s="141"/>
      <c r="I40" s="141"/>
      <c r="J40" s="141"/>
      <c r="L40" s="183" t="s">
        <v>275</v>
      </c>
      <c r="M40" s="177" t="s">
        <v>79</v>
      </c>
      <c r="N40" s="453" t="str">
        <f t="shared" si="0"/>
        <v>Adhesives (commercial)N/A</v>
      </c>
      <c r="O40" s="176" t="s">
        <v>369</v>
      </c>
    </row>
    <row r="41" spans="1:15" x14ac:dyDescent="0.35">
      <c r="L41" s="183" t="s">
        <v>276</v>
      </c>
      <c r="M41" s="177" t="s">
        <v>10</v>
      </c>
      <c r="N41" s="453" t="str">
        <f t="shared" si="0"/>
        <v>Adhesives (industrial)Monitoring Data</v>
      </c>
      <c r="O41" s="176" t="s">
        <v>371</v>
      </c>
    </row>
    <row r="42" spans="1:15" x14ac:dyDescent="0.35">
      <c r="L42" s="183" t="s">
        <v>276</v>
      </c>
      <c r="M42" s="177" t="s">
        <v>79</v>
      </c>
      <c r="N42" s="453" t="str">
        <f t="shared" si="0"/>
        <v>Adhesives (industrial)N/A</v>
      </c>
      <c r="O42" s="176" t="s">
        <v>371</v>
      </c>
    </row>
    <row r="43" spans="1:15" x14ac:dyDescent="0.35">
      <c r="L43" s="183" t="s">
        <v>277</v>
      </c>
      <c r="M43" s="177" t="s">
        <v>10</v>
      </c>
      <c r="N43" s="453" t="str">
        <f t="shared" si="0"/>
        <v>Chemical MaskantMonitoring Data</v>
      </c>
      <c r="O43" s="176">
        <v>10</v>
      </c>
    </row>
    <row r="44" spans="1:15" x14ac:dyDescent="0.35">
      <c r="L44" s="183" t="s">
        <v>277</v>
      </c>
      <c r="M44" s="177" t="s">
        <v>10</v>
      </c>
      <c r="N44" s="453" t="str">
        <f t="shared" si="0"/>
        <v>Chemical MaskantMonitoring Data</v>
      </c>
      <c r="O44" s="176">
        <v>10</v>
      </c>
    </row>
    <row r="45" spans="1:15" x14ac:dyDescent="0.35">
      <c r="L45" s="183" t="s">
        <v>278</v>
      </c>
      <c r="M45" s="177" t="s">
        <v>10</v>
      </c>
      <c r="N45" s="453" t="str">
        <f t="shared" si="0"/>
        <v>Industrial Processing AidMonitoring Data</v>
      </c>
      <c r="O45" s="176">
        <v>14</v>
      </c>
    </row>
    <row r="46" spans="1:15" x14ac:dyDescent="0.35">
      <c r="L46" s="183" t="s">
        <v>279</v>
      </c>
      <c r="M46" s="177" t="s">
        <v>10</v>
      </c>
      <c r="N46" s="453" t="str">
        <f t="shared" si="0"/>
        <v>Other Industrial Uses - MiscellaneousMonitoring Data</v>
      </c>
      <c r="O46" s="176" t="s">
        <v>374</v>
      </c>
    </row>
    <row r="47" spans="1:15" x14ac:dyDescent="0.35">
      <c r="L47" s="183" t="s">
        <v>280</v>
      </c>
      <c r="M47" s="177" t="s">
        <v>10</v>
      </c>
      <c r="N47" s="453" t="str">
        <f t="shared" si="0"/>
        <v>Other Industrial Uses - Textile ProcessingMonitoring Data</v>
      </c>
      <c r="O47" s="176" t="s">
        <v>376</v>
      </c>
    </row>
    <row r="48" spans="1:15" x14ac:dyDescent="0.35">
      <c r="L48" s="183" t="s">
        <v>281</v>
      </c>
      <c r="M48" s="177" t="s">
        <v>10</v>
      </c>
      <c r="N48" s="453" t="str">
        <f t="shared" si="0"/>
        <v>Other Industrial Uses - Wood Furniture ManufacturingMonitoring Data</v>
      </c>
      <c r="O48" s="176" t="s">
        <v>377</v>
      </c>
    </row>
    <row r="49" spans="12:15" x14ac:dyDescent="0.35">
      <c r="L49" s="183" t="s">
        <v>282</v>
      </c>
      <c r="M49" s="177" t="s">
        <v>10</v>
      </c>
      <c r="N49" s="453" t="str">
        <f t="shared" si="0"/>
        <v>Other Industrial Uses - Foundry ApplicationsMonitoring Data</v>
      </c>
      <c r="O49" s="176" t="s">
        <v>378</v>
      </c>
    </row>
    <row r="50" spans="12:15" x14ac:dyDescent="0.35">
      <c r="L50" s="183" t="s">
        <v>283</v>
      </c>
      <c r="M50" s="177" t="s">
        <v>340</v>
      </c>
      <c r="N50" s="453" t="str">
        <f t="shared" si="0"/>
        <v>Metalworking FluidModeled Data</v>
      </c>
      <c r="O50" s="176">
        <v>16</v>
      </c>
    </row>
    <row r="51" spans="12:15" x14ac:dyDescent="0.35">
      <c r="L51" s="183" t="s">
        <v>284</v>
      </c>
      <c r="M51" s="177" t="s">
        <v>10</v>
      </c>
      <c r="N51" s="453" t="str">
        <f t="shared" si="0"/>
        <v>Wipe Cleaning and Metal/Stone PolishesMonitoring Data</v>
      </c>
      <c r="O51" s="176">
        <v>17</v>
      </c>
    </row>
    <row r="52" spans="12:15" x14ac:dyDescent="0.35">
      <c r="L52" s="183" t="s">
        <v>284</v>
      </c>
      <c r="M52" s="177" t="s">
        <v>10</v>
      </c>
      <c r="N52" s="453" t="str">
        <f t="shared" si="0"/>
        <v>Wipe Cleaning and Metal/Stone PolishesMonitoring Data</v>
      </c>
      <c r="O52" s="176">
        <v>17</v>
      </c>
    </row>
    <row r="53" spans="12:15" ht="26" x14ac:dyDescent="0.35">
      <c r="L53" s="56" t="s">
        <v>285</v>
      </c>
      <c r="M53" s="177" t="s">
        <v>10</v>
      </c>
      <c r="N53" s="453" t="str">
        <f t="shared" si="0"/>
        <v>Other Spot Cleaning/Spot Removers (Including Carpet Cleaning)Monitoring Data</v>
      </c>
      <c r="O53" s="176">
        <v>18</v>
      </c>
    </row>
    <row r="54" spans="12:15" ht="26" x14ac:dyDescent="0.35">
      <c r="L54" s="56" t="s">
        <v>285</v>
      </c>
      <c r="M54" s="177" t="s">
        <v>10</v>
      </c>
      <c r="N54" s="453" t="str">
        <f t="shared" si="0"/>
        <v>Other Spot Cleaning/Spot Removers (Including Carpet Cleaning)Monitoring Data</v>
      </c>
      <c r="O54" s="176">
        <v>18</v>
      </c>
    </row>
    <row r="55" spans="12:15" x14ac:dyDescent="0.35">
      <c r="L55" s="183" t="s">
        <v>286</v>
      </c>
      <c r="M55" s="177" t="s">
        <v>10</v>
      </c>
      <c r="N55" s="453" t="str">
        <f t="shared" si="0"/>
        <v>Other Commercial Uses - PrintingMonitoring Data</v>
      </c>
      <c r="O55" s="176" t="s">
        <v>384</v>
      </c>
    </row>
    <row r="56" spans="12:15" x14ac:dyDescent="0.35">
      <c r="L56" s="183" t="s">
        <v>287</v>
      </c>
      <c r="M56" s="177" t="s">
        <v>10</v>
      </c>
      <c r="N56" s="453" t="str">
        <f t="shared" si="0"/>
        <v>Other Commercial Uses - PhotocopyingMonitoring Data</v>
      </c>
      <c r="O56" s="176" t="s">
        <v>385</v>
      </c>
    </row>
    <row r="57" spans="12:15" x14ac:dyDescent="0.35">
      <c r="L57" s="183" t="s">
        <v>288</v>
      </c>
      <c r="M57" s="177" t="s">
        <v>10</v>
      </c>
      <c r="N57" s="453" t="str">
        <f t="shared" si="0"/>
        <v>Other Commercial Uses - Photographic FilmMonitoring Data</v>
      </c>
      <c r="O57" s="176" t="s">
        <v>387</v>
      </c>
    </row>
    <row r="58" spans="12:15" x14ac:dyDescent="0.35">
      <c r="L58" s="183" t="s">
        <v>289</v>
      </c>
      <c r="M58" s="177" t="s">
        <v>10</v>
      </c>
      <c r="N58" s="453" t="str">
        <f t="shared" si="0"/>
        <v>Other Commercial Uses - Mold ReleaseMonitoring Data</v>
      </c>
      <c r="O58" s="176" t="s">
        <v>389</v>
      </c>
    </row>
    <row r="59" spans="12:15" x14ac:dyDescent="0.35">
      <c r="L59" s="190" t="s">
        <v>290</v>
      </c>
      <c r="M59" s="179" t="s">
        <v>10</v>
      </c>
      <c r="N59" s="453" t="str">
        <f t="shared" si="0"/>
        <v>Other DOD Uses - Water Pipe RepairMonitoring Data</v>
      </c>
      <c r="O59" s="178" t="s">
        <v>391</v>
      </c>
    </row>
    <row r="60" spans="12:15" x14ac:dyDescent="0.35">
      <c r="L60" s="190" t="s">
        <v>291</v>
      </c>
      <c r="M60" s="179" t="s">
        <v>10</v>
      </c>
      <c r="N60" s="453" t="str">
        <f t="shared" si="0"/>
        <v>Other DOD Uses - Oil analysisMonitoring Data</v>
      </c>
      <c r="O60" s="178" t="s">
        <v>393</v>
      </c>
    </row>
    <row r="61" spans="12:15" x14ac:dyDescent="0.35">
      <c r="L61" s="183" t="s">
        <v>293</v>
      </c>
      <c r="M61" s="177" t="s">
        <v>10</v>
      </c>
      <c r="N61" s="453" t="str">
        <f t="shared" si="0"/>
        <v>Disposal/RecyclingMonitoring Data</v>
      </c>
      <c r="O61" s="176">
        <v>21</v>
      </c>
    </row>
    <row r="62" spans="12:15" ht="15" thickBot="1" x14ac:dyDescent="0.4">
      <c r="L62" s="471" t="s">
        <v>292</v>
      </c>
      <c r="M62" s="197" t="s">
        <v>10</v>
      </c>
      <c r="N62" s="453" t="str">
        <f t="shared" si="0"/>
        <v>Laboratory ChemicalsMonitoring Data</v>
      </c>
      <c r="O62" s="470">
        <v>22</v>
      </c>
    </row>
  </sheetData>
  <sheetProtection algorithmName="SHA-512" hashValue="g2Vh6U4pmrB/7XfJZ/9WI/rXna13t3p3lty3z52wJWDa5buNKzIJYMFceI/GgQzqJXqcKb9eeJcE5PiQbejivw==" saltValue="5GlQxAp7dGEREbEXAXgBV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3E7E-60EB-4022-BE19-E14BB305BE60}">
  <sheetPr codeName="Sheet2">
    <tabColor rgb="FF92D050"/>
  </sheetPr>
  <dimension ref="A1:B11"/>
  <sheetViews>
    <sheetView workbookViewId="0"/>
  </sheetViews>
  <sheetFormatPr defaultRowHeight="14.5" x14ac:dyDescent="0.35"/>
  <cols>
    <col min="1" max="1" width="16.453125" customWidth="1"/>
    <col min="2" max="2" width="176.7265625" customWidth="1"/>
  </cols>
  <sheetData>
    <row r="1" spans="1:2" x14ac:dyDescent="0.35">
      <c r="A1" s="503" t="s">
        <v>453</v>
      </c>
      <c r="B1" s="504"/>
    </row>
    <row r="2" spans="1:2" ht="15" customHeight="1" x14ac:dyDescent="0.35">
      <c r="A2" s="506" t="s">
        <v>461</v>
      </c>
      <c r="B2" s="506"/>
    </row>
    <row r="3" spans="1:2" x14ac:dyDescent="0.35">
      <c r="A3" s="504"/>
      <c r="B3" s="504"/>
    </row>
    <row r="4" spans="1:2" x14ac:dyDescent="0.35">
      <c r="A4" s="505" t="s">
        <v>454</v>
      </c>
      <c r="B4" s="505" t="s">
        <v>455</v>
      </c>
    </row>
    <row r="5" spans="1:2" ht="116" x14ac:dyDescent="0.35">
      <c r="A5" s="505" t="s">
        <v>456</v>
      </c>
      <c r="B5" s="505" t="s">
        <v>462</v>
      </c>
    </row>
    <row r="6" spans="1:2" ht="58" x14ac:dyDescent="0.35">
      <c r="A6" s="505" t="s">
        <v>457</v>
      </c>
      <c r="B6" s="505" t="s">
        <v>458</v>
      </c>
    </row>
    <row r="7" spans="1:2" ht="101.5" x14ac:dyDescent="0.35">
      <c r="A7" s="505" t="s">
        <v>459</v>
      </c>
      <c r="B7" s="505" t="s">
        <v>460</v>
      </c>
    </row>
    <row r="8" spans="1:2" ht="27" customHeight="1" x14ac:dyDescent="0.35"/>
    <row r="9" spans="1:2" ht="27" customHeight="1" x14ac:dyDescent="0.35"/>
    <row r="10" spans="1:2" ht="27" customHeight="1" x14ac:dyDescent="0.35"/>
    <row r="11" spans="1:2" ht="27" customHeight="1" x14ac:dyDescent="0.35"/>
  </sheetData>
  <sheetProtection algorithmName="SHA-512" hashValue="7A490Zv4SdHA11yhcmufk+4HX+DPQkQMW2vExje774G13WYG/PuVBbNNW2Q9QC1MuFqqX86/tpeCeh76/BnisA==" saltValue="9sxq4PUhQtK+ZDE3OIwGIg==" spinCount="100000" sheet="1" objects="1" scenarios="1"/>
  <mergeCells count="1">
    <mergeCell ref="A2:B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92D050"/>
  </sheetPr>
  <dimension ref="A1:FL135"/>
  <sheetViews>
    <sheetView zoomScale="80" zoomScaleNormal="80" workbookViewId="0">
      <selection activeCell="D4" sqref="D4:E4"/>
    </sheetView>
  </sheetViews>
  <sheetFormatPr defaultColWidth="8.81640625" defaultRowHeight="14.5" x14ac:dyDescent="0.35"/>
  <cols>
    <col min="1" max="1" width="4.54296875" style="16" customWidth="1"/>
    <col min="2" max="2" width="6" style="15" hidden="1" customWidth="1"/>
    <col min="3" max="3" width="31.26953125" style="16" customWidth="1"/>
    <col min="4" max="4" width="18" style="15" bestFit="1" customWidth="1"/>
    <col min="5" max="5" width="22.81640625" style="16" bestFit="1" customWidth="1"/>
    <col min="6" max="6" width="16.7265625" style="16" customWidth="1"/>
    <col min="7" max="7" width="18" style="16" customWidth="1"/>
    <col min="8" max="8" width="23.81640625" style="16" customWidth="1"/>
    <col min="9" max="9" width="22.26953125" style="16" customWidth="1"/>
    <col min="10" max="10" width="24.7265625" style="16" customWidth="1"/>
    <col min="11" max="11" width="21.54296875" style="16" customWidth="1"/>
    <col min="12" max="13" width="16.7265625" style="16" customWidth="1"/>
    <col min="14" max="14" width="35" style="16" customWidth="1"/>
    <col min="15" max="15" width="22.26953125" style="16" customWidth="1"/>
    <col min="16" max="18" width="16.7265625" style="16" customWidth="1"/>
    <col min="19" max="19" width="23.26953125" style="16" customWidth="1"/>
    <col min="20" max="20" width="21.453125" style="16" customWidth="1"/>
    <col min="21" max="21" width="21.1796875" style="16" customWidth="1"/>
    <col min="22" max="32" width="16.7265625" style="16" customWidth="1"/>
    <col min="33" max="34" width="18.81640625" style="16" customWidth="1"/>
    <col min="35" max="35" width="28.453125" style="285" customWidth="1"/>
    <col min="36" max="36" width="26.7265625" style="285" customWidth="1"/>
    <col min="37" max="37" width="15.1796875" style="285" customWidth="1"/>
    <col min="38" max="38" width="17.7265625" style="285" customWidth="1"/>
    <col min="39" max="39" width="22.453125" style="285" customWidth="1"/>
    <col min="40" max="40" width="21.81640625" style="285" customWidth="1"/>
    <col min="41" max="41" width="17.453125" style="285" customWidth="1"/>
    <col min="42" max="42" width="14.54296875" style="16" customWidth="1"/>
    <col min="43" max="43" width="17.1796875" style="16" customWidth="1"/>
    <col min="44" max="44" width="16" style="16" customWidth="1"/>
    <col min="45" max="45" width="24.26953125" style="16" customWidth="1"/>
    <col min="46" max="46" width="15.54296875" style="16" customWidth="1"/>
    <col min="47" max="47" width="14.1796875" style="16" customWidth="1"/>
    <col min="48" max="49" width="8.81640625" style="16"/>
    <col min="50" max="50" width="18.453125" style="16" customWidth="1"/>
    <col min="51" max="51" width="15" style="16" customWidth="1"/>
    <col min="52" max="52" width="21.453125" style="16" customWidth="1"/>
    <col min="53" max="53" width="15.453125" style="16" customWidth="1"/>
    <col min="54" max="54" width="16.54296875" style="16" customWidth="1"/>
    <col min="55" max="56" width="8.81640625" style="16"/>
    <col min="57" max="57" width="17.7265625" style="16" customWidth="1"/>
    <col min="58" max="58" width="14.453125" style="16" customWidth="1"/>
    <col min="59" max="59" width="18.54296875" style="16" customWidth="1"/>
    <col min="60" max="60" width="13.54296875" style="16" customWidth="1"/>
    <col min="61" max="61" width="15.1796875" style="16" customWidth="1"/>
    <col min="62" max="63" width="8.81640625" style="16"/>
    <col min="64" max="64" width="16.26953125" style="16" customWidth="1"/>
    <col min="65" max="65" width="12" style="16" customWidth="1"/>
    <col min="66" max="66" width="18" style="16" customWidth="1"/>
    <col min="67" max="67" width="16.1796875" style="16" customWidth="1"/>
    <col min="68" max="68" width="14.1796875" style="16" customWidth="1"/>
    <col min="69" max="69" width="10.26953125" style="16" customWidth="1"/>
    <col min="70" max="16384" width="8.81640625" style="16"/>
  </cols>
  <sheetData>
    <row r="1" spans="1:168" ht="15" thickBot="1" x14ac:dyDescent="0.4">
      <c r="AI1" s="16"/>
      <c r="AJ1" s="16"/>
      <c r="AK1" s="16"/>
      <c r="AL1" s="16"/>
      <c r="AM1" s="16"/>
      <c r="AN1" s="16"/>
      <c r="AO1" s="16"/>
    </row>
    <row r="2" spans="1:168" s="18" customFormat="1" ht="41.25" customHeight="1" thickBot="1" x14ac:dyDescent="0.4">
      <c r="B2" s="25"/>
      <c r="C2" s="62" t="s">
        <v>0</v>
      </c>
      <c r="D2" s="572" t="s">
        <v>1</v>
      </c>
      <c r="E2" s="573"/>
      <c r="J2" s="584" t="s">
        <v>2</v>
      </c>
      <c r="K2" s="585"/>
      <c r="N2" s="345" t="s">
        <v>3</v>
      </c>
      <c r="O2" s="2"/>
    </row>
    <row r="3" spans="1:168" s="18" customFormat="1" ht="55.5" customHeight="1" x14ac:dyDescent="0.35">
      <c r="B3" s="25"/>
      <c r="C3" s="61" t="s">
        <v>4</v>
      </c>
      <c r="D3" s="590" t="s">
        <v>5</v>
      </c>
      <c r="E3" s="591"/>
      <c r="J3" s="344" t="s">
        <v>6</v>
      </c>
      <c r="K3" s="282" t="s">
        <v>7</v>
      </c>
      <c r="N3" s="346" t="s">
        <v>8</v>
      </c>
      <c r="O3" s="2"/>
    </row>
    <row r="4" spans="1:168" s="18" customFormat="1" ht="18.5" x14ac:dyDescent="0.35">
      <c r="B4" s="25"/>
      <c r="C4" s="463" t="s">
        <v>9</v>
      </c>
      <c r="D4" s="588" t="s">
        <v>10</v>
      </c>
      <c r="E4" s="589"/>
      <c r="J4" s="464">
        <v>25</v>
      </c>
      <c r="K4" s="465">
        <v>5</v>
      </c>
      <c r="N4" s="466" t="s">
        <v>11</v>
      </c>
      <c r="O4" s="2"/>
    </row>
    <row r="5" spans="1:168" s="18" customFormat="1" ht="18.5" x14ac:dyDescent="0.35">
      <c r="B5" s="25"/>
      <c r="C5" s="303"/>
      <c r="D5" s="303"/>
      <c r="E5" s="303"/>
      <c r="H5" s="304"/>
      <c r="I5" s="305"/>
      <c r="O5" s="303"/>
      <c r="P5" s="331"/>
    </row>
    <row r="6" spans="1:168" ht="38.25" customHeight="1" x14ac:dyDescent="0.35">
      <c r="A6" s="18"/>
      <c r="C6" s="44" t="s">
        <v>12</v>
      </c>
      <c r="D6" s="25"/>
      <c r="E6" s="28"/>
      <c r="F6" s="28"/>
      <c r="G6" s="28"/>
      <c r="H6" s="28"/>
      <c r="I6" s="28"/>
      <c r="N6" s="44" t="s">
        <v>3</v>
      </c>
      <c r="Q6" s="55"/>
      <c r="R6" s="52"/>
      <c r="T6" s="18"/>
      <c r="U6" s="18"/>
      <c r="V6" s="18"/>
      <c r="W6" s="18"/>
      <c r="X6" s="18"/>
      <c r="Y6" s="18"/>
      <c r="Z6" s="18"/>
      <c r="AA6" s="18"/>
      <c r="AB6" s="18"/>
      <c r="AC6" s="18"/>
      <c r="AD6" s="18"/>
      <c r="AE6" s="18"/>
      <c r="AF6" s="18"/>
      <c r="AG6" s="18"/>
      <c r="AI6" s="16"/>
      <c r="AJ6" s="16"/>
      <c r="AK6" s="16"/>
      <c r="AL6" s="16"/>
      <c r="AM6" s="16"/>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row>
    <row r="7" spans="1:168" ht="36.75" customHeight="1" thickBot="1" x14ac:dyDescent="0.4">
      <c r="A7" s="18"/>
      <c r="C7" s="17" t="s">
        <v>13</v>
      </c>
      <c r="G7" s="132"/>
      <c r="H7" s="132"/>
      <c r="I7" s="133"/>
      <c r="N7" s="17" t="s">
        <v>13</v>
      </c>
      <c r="Q7" s="55"/>
      <c r="R7" s="52"/>
      <c r="AI7" s="16"/>
      <c r="AJ7" s="16"/>
      <c r="AK7" s="16"/>
      <c r="AL7" s="16"/>
      <c r="AM7" s="16"/>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row>
    <row r="8" spans="1:168" ht="26" x14ac:dyDescent="0.35">
      <c r="A8" s="18"/>
      <c r="C8" s="586" t="s">
        <v>14</v>
      </c>
      <c r="D8" s="574" t="s">
        <v>15</v>
      </c>
      <c r="E8" s="483" t="s">
        <v>16</v>
      </c>
      <c r="F8" s="483" t="s">
        <v>17</v>
      </c>
      <c r="G8" s="483" t="s">
        <v>18</v>
      </c>
      <c r="H8" s="71" t="s">
        <v>19</v>
      </c>
      <c r="I8" s="68"/>
      <c r="N8" s="560" t="s">
        <v>14</v>
      </c>
      <c r="O8" s="562" t="s">
        <v>15</v>
      </c>
      <c r="P8" s="483" t="s">
        <v>20</v>
      </c>
      <c r="Q8" s="483" t="s">
        <v>21</v>
      </c>
      <c r="R8" s="483" t="s">
        <v>22</v>
      </c>
      <c r="S8" s="71" t="s">
        <v>23</v>
      </c>
      <c r="T8" s="72"/>
      <c r="U8" s="72"/>
      <c r="V8" s="72"/>
      <c r="W8" s="72"/>
      <c r="X8" s="72"/>
      <c r="Y8" s="72"/>
      <c r="Z8" s="72"/>
      <c r="AA8" s="72"/>
      <c r="AB8" s="72"/>
      <c r="AC8" s="72"/>
      <c r="AD8" s="72"/>
      <c r="AE8" s="72"/>
      <c r="AF8" s="72"/>
      <c r="AG8" s="72"/>
      <c r="AI8" s="16"/>
      <c r="AJ8" s="16"/>
      <c r="AK8" s="16"/>
      <c r="AL8" s="16"/>
      <c r="AM8" s="16"/>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row>
    <row r="9" spans="1:168" ht="36.75" customHeight="1" thickBot="1" x14ac:dyDescent="0.4">
      <c r="A9" s="18"/>
      <c r="C9" s="587"/>
      <c r="D9" s="575"/>
      <c r="E9" s="484" t="s">
        <v>24</v>
      </c>
      <c r="F9" s="484" t="s">
        <v>25</v>
      </c>
      <c r="G9" s="484" t="s">
        <v>26</v>
      </c>
      <c r="H9" s="123" t="s">
        <v>27</v>
      </c>
      <c r="I9" s="72"/>
      <c r="N9" s="561"/>
      <c r="O9" s="563"/>
      <c r="P9" s="484" t="s">
        <v>28</v>
      </c>
      <c r="Q9" s="484" t="s">
        <v>29</v>
      </c>
      <c r="R9" s="484" t="s">
        <v>30</v>
      </c>
      <c r="S9" s="123" t="s">
        <v>30</v>
      </c>
      <c r="T9" s="72"/>
      <c r="U9" s="72"/>
      <c r="V9" s="72"/>
      <c r="W9" s="72"/>
      <c r="X9" s="72"/>
      <c r="Y9" s="72"/>
      <c r="Z9" s="72"/>
      <c r="AA9" s="72"/>
      <c r="AB9" s="72"/>
      <c r="AC9" s="72"/>
      <c r="AD9" s="72"/>
      <c r="AE9" s="72"/>
      <c r="AF9" s="72"/>
      <c r="AG9" s="72"/>
      <c r="AI9" s="16"/>
      <c r="AJ9" s="16"/>
      <c r="AK9" s="16"/>
      <c r="AL9" s="16"/>
      <c r="AM9" s="16"/>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row>
    <row r="10" spans="1:168" ht="15" customHeight="1" x14ac:dyDescent="0.35">
      <c r="A10" s="18"/>
      <c r="C10" s="223" t="s">
        <v>31</v>
      </c>
      <c r="D10" s="578" t="s">
        <v>32</v>
      </c>
      <c r="E10" s="224">
        <f>SUMIFS('Inhalation Exposure'!$H:$H,'Inhalation Exposure'!$C:$C,$C$4,'Inhalation Exposure'!$D:$D,$C10,'Inhalation Exposure'!$Z:$Z,$D$4)</f>
        <v>2.6617249999999997</v>
      </c>
      <c r="F10" s="224">
        <f>SUMIFS('Inhalation Exposure'!$P:$P,'Inhalation Exposure'!$C:$C,$C$4,'Inhalation Exposure'!$D:$D,$C10,'Inhalation Exposure'!$Z:$Z,$D$4)</f>
        <v>0.8872416666666666</v>
      </c>
      <c r="G10" s="224">
        <f>SUMIFS('Inhalation Exposure'!$R:$R,'Inhalation Exposure'!$C:$C,$C$4,'Inhalation Exposure'!$D:$D,$C10,'Inhalation Exposure'!$Z:$Z,$D$4)</f>
        <v>0.60769977168949751</v>
      </c>
      <c r="H10" s="227">
        <f>SUMIFS('Inhalation Exposure'!$T:$T,'Inhalation Exposure'!$C:$C,$C$4,'Inhalation Exposure'!$D:$D,$C10,'Inhalation Exposure'!$Z:$Z,$D$4)</f>
        <v>0.31164090855871668</v>
      </c>
      <c r="I10" s="73"/>
      <c r="N10" s="564" t="s">
        <v>33</v>
      </c>
      <c r="O10" s="490" t="s">
        <v>32</v>
      </c>
      <c r="P10" s="286">
        <f>'Dermal Exposure'!N5</f>
        <v>282.52254794345549</v>
      </c>
      <c r="Q10" s="286">
        <f>'Dermal Exposure'!O5</f>
        <v>3.5315318492931937</v>
      </c>
      <c r="R10" s="286">
        <f>'Dermal Exposure'!P5</f>
        <v>2.4188574310227358</v>
      </c>
      <c r="S10" s="347">
        <f>'Dermal Exposure'!Q5</f>
        <v>1.2404397082167875</v>
      </c>
      <c r="T10" s="73"/>
      <c r="U10" s="73"/>
      <c r="V10" s="73"/>
      <c r="W10" s="73"/>
      <c r="X10" s="73"/>
      <c r="Y10" s="73"/>
      <c r="Z10" s="73"/>
      <c r="AA10" s="73"/>
      <c r="AB10" s="73"/>
      <c r="AC10" s="73"/>
      <c r="AD10" s="73"/>
      <c r="AE10" s="73"/>
      <c r="AF10" s="73"/>
      <c r="AG10" s="73"/>
      <c r="AI10" s="16"/>
      <c r="AJ10" s="16"/>
      <c r="AK10" s="16"/>
      <c r="AL10" s="16"/>
      <c r="AM10" s="16"/>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row>
    <row r="11" spans="1:168" ht="15" thickBot="1" x14ac:dyDescent="0.4">
      <c r="A11" s="18"/>
      <c r="C11" s="226" t="s">
        <v>34</v>
      </c>
      <c r="D11" s="577"/>
      <c r="E11" s="225">
        <f>SUMIFS('Inhalation Exposure'!$H:$H,'Inhalation Exposure'!$C:$C,$C$4,'Inhalation Exposure'!$D:$D,$C11,'Inhalation Exposure'!$Z:$Z,$D$4)</f>
        <v>9.1749999999999998E-2</v>
      </c>
      <c r="F11" s="225">
        <f>SUMIFS('Inhalation Exposure'!$P:$P,'Inhalation Exposure'!$C:$C,$C$4,'Inhalation Exposure'!$D:$D,$C11,'Inhalation Exposure'!$Z:$Z,$D$4)</f>
        <v>3.0583333333333334E-2</v>
      </c>
      <c r="G11" s="225">
        <f>SUMIFS('Inhalation Exposure'!$R:$R,'Inhalation Exposure'!$C:$C,$C$4,'Inhalation Exposure'!$D:$D,$C11,'Inhalation Exposure'!$Z:$Z,$D$4)</f>
        <v>2.0947488584474885E-2</v>
      </c>
      <c r="H11" s="230">
        <f>SUMIFS('Inhalation Exposure'!$T:$T,'Inhalation Exposure'!$C:$C,$C$4,'Inhalation Exposure'!$D:$D,$C11,'Inhalation Exposure'!$Z:$Z,$D$4)</f>
        <v>1.0742301838192249E-2</v>
      </c>
      <c r="I11" s="73"/>
      <c r="N11" s="565"/>
      <c r="O11" s="348" t="s">
        <v>35</v>
      </c>
      <c r="P11" s="287">
        <f>'Dermal Exposure'!N6</f>
        <v>94.174182647818483</v>
      </c>
      <c r="Q11" s="287">
        <f>'Dermal Exposure'!O6</f>
        <v>1.177177283097731</v>
      </c>
      <c r="R11" s="287">
        <f>'Dermal Exposure'!P6</f>
        <v>0.80628581034091162</v>
      </c>
      <c r="S11" s="288">
        <f>'Dermal Exposure'!Q6</f>
        <v>0.32044692462266999</v>
      </c>
      <c r="T11" s="73"/>
      <c r="U11" s="73"/>
      <c r="V11" s="73"/>
      <c r="W11" s="73"/>
      <c r="X11" s="73"/>
      <c r="Y11" s="73"/>
      <c r="Z11" s="73"/>
      <c r="AA11" s="73"/>
      <c r="AB11" s="73"/>
      <c r="AC11" s="73"/>
      <c r="AD11" s="73"/>
      <c r="AE11" s="73"/>
      <c r="AF11" s="73"/>
      <c r="AG11" s="73"/>
      <c r="AI11" s="16"/>
      <c r="AJ11" s="16"/>
      <c r="AK11" s="16"/>
      <c r="AL11" s="16"/>
      <c r="AM11" s="16"/>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row>
    <row r="12" spans="1:168" x14ac:dyDescent="0.35">
      <c r="A12" s="18"/>
      <c r="C12" s="223" t="s">
        <v>31</v>
      </c>
      <c r="D12" s="578" t="s">
        <v>35</v>
      </c>
      <c r="E12" s="224">
        <f>SUMIFS('Inhalation Exposure'!$I:$I,'Inhalation Exposure'!$C:$C,$C$4,'Inhalation Exposure'!$D:$D,$C12,'Inhalation Exposure'!$Z:$Z,$D$4)</f>
        <v>3.2500000000000001E-2</v>
      </c>
      <c r="F12" s="224">
        <f>SUMIFS('Inhalation Exposure'!$Q:$Q,'Inhalation Exposure'!$C:$C,$C$4,'Inhalation Exposure'!$D:$D,$C12,'Inhalation Exposure'!$Z:$Z,$D$4)</f>
        <v>1.0833333333333334E-2</v>
      </c>
      <c r="G12" s="224">
        <f>SUMIFS('Inhalation Exposure'!$S:$S,'Inhalation Exposure'!$C:$C,$C$4,'Inhalation Exposure'!$D:$D,$C12,'Inhalation Exposure'!$Z:$Z,$D$4)</f>
        <v>7.4200913242009128E-3</v>
      </c>
      <c r="H12" s="227">
        <f>SUMIFS('Inhalation Exposure'!$U:$U,'Inhalation Exposure'!$C:$C,$C$4,'Inhalation Exposure'!$D:$D,$C12,'Inhalation Exposure'!$Z:$Z,$D$4)</f>
        <v>2.9490106544901064E-3</v>
      </c>
      <c r="I12" s="73"/>
      <c r="N12" s="566" t="str">
        <f>_xlfn.CONCAT("Worker with Gloves; 
PF = ",K4)</f>
        <v>Worker with Gloves; 
PF = 5</v>
      </c>
      <c r="O12" s="348" t="s">
        <v>32</v>
      </c>
      <c r="P12" s="287">
        <f t="shared" ref="P12:S13" si="0">P10/$K$4</f>
        <v>56.5045095886911</v>
      </c>
      <c r="Q12" s="287">
        <f t="shared" si="0"/>
        <v>0.70630636985863871</v>
      </c>
      <c r="R12" s="287">
        <f t="shared" si="0"/>
        <v>0.48377148620454713</v>
      </c>
      <c r="S12" s="288">
        <f t="shared" si="0"/>
        <v>0.24808794164335751</v>
      </c>
      <c r="T12" s="73"/>
      <c r="U12" s="73"/>
      <c r="V12" s="73"/>
      <c r="W12" s="73"/>
      <c r="X12" s="73"/>
      <c r="Y12" s="73"/>
      <c r="Z12" s="73"/>
      <c r="AA12" s="73"/>
      <c r="AB12" s="73"/>
      <c r="AC12" s="73"/>
      <c r="AD12" s="73"/>
      <c r="AE12" s="73"/>
      <c r="AF12" s="73"/>
      <c r="AG12" s="73"/>
      <c r="AI12" s="16"/>
      <c r="AJ12" s="16"/>
      <c r="AK12" s="16"/>
      <c r="AL12" s="16"/>
      <c r="AM12" s="16"/>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row>
    <row r="13" spans="1:168" ht="15" thickBot="1" x14ac:dyDescent="0.4">
      <c r="A13" s="18"/>
      <c r="C13" s="226" t="s">
        <v>34</v>
      </c>
      <c r="D13" s="577"/>
      <c r="E13" s="228">
        <f>SUMIFS('Inhalation Exposure'!$I:$I,'Inhalation Exposure'!$C:$C,$C$4,'Inhalation Exposure'!$D:$D,$C13,'Inhalation Exposure'!$Z:$Z,$D$4)</f>
        <v>3.3941125496954279E-2</v>
      </c>
      <c r="F13" s="228">
        <f>SUMIFS('Inhalation Exposure'!$Q:$Q,'Inhalation Exposure'!$C:$C,$C$4,'Inhalation Exposure'!$D:$D,$C13,'Inhalation Exposure'!$Z:$Z,$D$4)</f>
        <v>1.131370849898476E-2</v>
      </c>
      <c r="G13" s="228">
        <f>SUMIFS('Inhalation Exposure'!$S:$S,'Inhalation Exposure'!$C:$C,$C$4,'Inhalation Exposure'!$D:$D,$C13,'Inhalation Exposure'!$Z:$Z,$D$4)</f>
        <v>7.7491154102635332E-3</v>
      </c>
      <c r="H13" s="229">
        <f>SUMIFS('Inhalation Exposure'!$U:$U,'Inhalation Exposure'!$C:$C,$C$4,'Inhalation Exposure'!$D:$D,$C13,'Inhalation Exposure'!$Z:$Z,$D$4)</f>
        <v>3.0797766374124299E-3</v>
      </c>
      <c r="I13" s="73"/>
      <c r="N13" s="566"/>
      <c r="O13" s="348" t="s">
        <v>35</v>
      </c>
      <c r="P13" s="287">
        <f t="shared" si="0"/>
        <v>18.834836529563695</v>
      </c>
      <c r="Q13" s="287">
        <f t="shared" si="0"/>
        <v>0.23543545661954618</v>
      </c>
      <c r="R13" s="287">
        <f t="shared" si="0"/>
        <v>0.16125716206818233</v>
      </c>
      <c r="S13" s="288">
        <f t="shared" si="0"/>
        <v>6.4089384924534004E-2</v>
      </c>
      <c r="T13" s="73"/>
      <c r="U13" s="73"/>
      <c r="V13" s="73"/>
      <c r="W13" s="73"/>
      <c r="X13" s="73"/>
      <c r="Y13" s="73"/>
      <c r="Z13" s="73"/>
      <c r="AA13" s="73"/>
      <c r="AB13" s="73"/>
      <c r="AC13" s="73"/>
      <c r="AD13" s="73"/>
      <c r="AE13" s="73"/>
      <c r="AF13" s="73"/>
      <c r="AG13" s="73"/>
      <c r="AI13" s="16"/>
      <c r="AJ13" s="16"/>
      <c r="AK13" s="16"/>
      <c r="AL13" s="16"/>
      <c r="AM13" s="16"/>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row>
    <row r="14" spans="1:168" ht="15" thickBot="1" x14ac:dyDescent="0.4">
      <c r="A14" s="18"/>
      <c r="C14" s="15"/>
      <c r="D14" s="16"/>
      <c r="N14" s="565" t="s">
        <v>36</v>
      </c>
      <c r="O14" s="348" t="s">
        <v>32</v>
      </c>
      <c r="P14" s="287" t="str">
        <f>'Dermal Exposure'!N7</f>
        <v>Not Assessed</v>
      </c>
      <c r="Q14" s="287" t="str">
        <f>'Dermal Exposure'!O7</f>
        <v>Not Assessed</v>
      </c>
      <c r="R14" s="287" t="str">
        <f>'Dermal Exposure'!P7</f>
        <v>Not Assessed</v>
      </c>
      <c r="S14" s="288" t="str">
        <f>'Dermal Exposure'!Q7</f>
        <v>Not Assessed</v>
      </c>
      <c r="AI14" s="16"/>
      <c r="AJ14" s="16"/>
      <c r="AK14" s="16"/>
      <c r="AL14" s="16"/>
      <c r="AM14" s="16"/>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row>
    <row r="15" spans="1:168" s="26" customFormat="1" ht="19" thickBot="1" x14ac:dyDescent="0.4">
      <c r="A15" s="18"/>
      <c r="C15" s="579" t="s">
        <v>37</v>
      </c>
      <c r="D15" s="580"/>
      <c r="E15" s="580"/>
      <c r="F15" s="580"/>
      <c r="G15" s="580"/>
      <c r="H15" s="581"/>
      <c r="I15" s="305"/>
      <c r="J15" s="16"/>
      <c r="K15" s="16"/>
      <c r="L15" s="16"/>
      <c r="M15" s="16"/>
      <c r="N15" s="567"/>
      <c r="O15" s="491" t="s">
        <v>35</v>
      </c>
      <c r="P15" s="289" t="str">
        <f>'Dermal Exposure'!N8</f>
        <v>Not Assessed</v>
      </c>
      <c r="Q15" s="289" t="str">
        <f>'Dermal Exposure'!O8</f>
        <v>Not Assessed</v>
      </c>
      <c r="R15" s="289" t="str">
        <f>'Dermal Exposure'!P8</f>
        <v>Not Assessed</v>
      </c>
      <c r="S15" s="290" t="str">
        <f>'Dermal Exposure'!Q8</f>
        <v>Not Assessed</v>
      </c>
      <c r="T15" s="18"/>
      <c r="U15" s="18"/>
      <c r="V15" s="18"/>
      <c r="W15" s="18"/>
      <c r="X15" s="18"/>
      <c r="Y15" s="18"/>
      <c r="Z15" s="18"/>
      <c r="AA15" s="18"/>
      <c r="AB15" s="18"/>
      <c r="AC15" s="18"/>
      <c r="AD15" s="18"/>
      <c r="AE15" s="18"/>
      <c r="AF15" s="18"/>
      <c r="AG15" s="18"/>
      <c r="AH15" s="16"/>
      <c r="AI15" s="16"/>
      <c r="AJ15" s="16"/>
      <c r="AK15" s="16"/>
      <c r="AL15" s="16"/>
      <c r="AM15" s="16"/>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row>
    <row r="16" spans="1:168" s="26" customFormat="1" ht="26" x14ac:dyDescent="0.35">
      <c r="A16" s="18"/>
      <c r="B16" s="16"/>
      <c r="C16" s="530" t="s">
        <v>14</v>
      </c>
      <c r="D16" s="551" t="s">
        <v>15</v>
      </c>
      <c r="E16" s="483" t="s">
        <v>38</v>
      </c>
      <c r="F16" s="483" t="s">
        <v>39</v>
      </c>
      <c r="G16" s="483" t="s">
        <v>40</v>
      </c>
      <c r="H16" s="71" t="s">
        <v>41</v>
      </c>
      <c r="I16" s="305"/>
      <c r="J16" s="16"/>
      <c r="K16" s="16"/>
      <c r="L16" s="16"/>
      <c r="M16" s="16"/>
      <c r="N16" s="232"/>
      <c r="O16" s="232"/>
      <c r="P16" s="352"/>
      <c r="Q16" s="352"/>
      <c r="R16" s="352"/>
      <c r="S16" s="352"/>
      <c r="T16" s="18"/>
      <c r="U16" s="18"/>
      <c r="V16" s="18"/>
      <c r="W16" s="18"/>
      <c r="X16" s="18"/>
      <c r="Y16" s="18"/>
      <c r="Z16" s="18"/>
      <c r="AA16" s="18"/>
      <c r="AB16" s="18"/>
      <c r="AC16" s="18"/>
      <c r="AD16" s="18"/>
      <c r="AE16" s="18"/>
      <c r="AF16" s="18"/>
      <c r="AG16" s="18"/>
      <c r="AH16" s="16"/>
      <c r="AI16" s="16"/>
      <c r="AJ16" s="16"/>
      <c r="AK16" s="16"/>
      <c r="AL16" s="16"/>
      <c r="AM16" s="16"/>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row>
    <row r="17" spans="1:83" s="18" customFormat="1" ht="19" thickBot="1" x14ac:dyDescent="0.4">
      <c r="C17" s="557"/>
      <c r="D17" s="582"/>
      <c r="E17" s="484" t="s">
        <v>42</v>
      </c>
      <c r="F17" s="484" t="s">
        <v>43</v>
      </c>
      <c r="G17" s="484" t="s">
        <v>44</v>
      </c>
      <c r="H17" s="123" t="s">
        <v>45</v>
      </c>
      <c r="I17" s="305"/>
      <c r="AH17" s="303"/>
      <c r="AI17" s="331"/>
      <c r="BW17" s="16"/>
      <c r="BX17" s="16"/>
      <c r="BY17" s="16"/>
    </row>
    <row r="18" spans="1:83" s="18" customFormat="1" ht="15" customHeight="1" x14ac:dyDescent="0.35">
      <c r="C18" s="450" t="s">
        <v>31</v>
      </c>
      <c r="D18" s="578" t="s">
        <v>32</v>
      </c>
      <c r="E18" s="224">
        <f>SUMIFS('Inhalation Exposure'!$N:$N,'Inhalation Exposure'!$C:$C,$C$4,'Inhalation Exposure'!$D:$D,$C18,'Inhalation Exposure'!$Z:$Z,$D$4)</f>
        <v>15</v>
      </c>
      <c r="F18" s="224">
        <f>SUMIFS('Inhalation Exposure'!$J:$J,'Inhalation Exposure'!$C:$C,$C$4,'Inhalation Exposure'!$D:$D,$C18,'Inhalation Exposure'!$L:$L,"30",'Inhalation Exposure'!$Z:$Z,$D$4)</f>
        <v>12.149999999999999</v>
      </c>
      <c r="G18" s="224">
        <f>SUMIFS('Inhalation Exposure'!$J:$J,'Inhalation Exposure'!$C:$C,$C$4,'Inhalation Exposure'!$D:$D,$C18,'Inhalation Exposure'!$L:$L,"60",'Inhalation Exposure'!$Z:$Z,$D$4)</f>
        <v>0</v>
      </c>
      <c r="H18" s="227">
        <f>SUMIFS('Inhalation Exposure'!$J:$J,'Inhalation Exposure'!$C:$C,$C$4,'Inhalation Exposure'!$D:$D,$C18,'Inhalation Exposure'!$L:$L,"240",'Inhalation Exposure'!$Z:$Z,$D$4)</f>
        <v>0</v>
      </c>
      <c r="I18" s="305"/>
      <c r="AH18" s="303"/>
      <c r="AI18" s="331"/>
    </row>
    <row r="19" spans="1:83" s="18" customFormat="1" ht="15" customHeight="1" thickBot="1" x14ac:dyDescent="0.4">
      <c r="C19" s="194" t="s">
        <v>34</v>
      </c>
      <c r="D19" s="577"/>
      <c r="E19" s="448">
        <f>SUMIFS('Inhalation Exposure'!$N:$N,'Inhalation Exposure'!$C:$C,$C$4,'Inhalation Exposure'!$D:$D,$C19,'Inhalation Exposure'!$Z:$Z,$D$4)</f>
        <v>0</v>
      </c>
      <c r="F19" s="448">
        <f>SUMIFS('Inhalation Exposure'!$J:$J,'Inhalation Exposure'!$C:$C,$C$4,'Inhalation Exposure'!$D:$D,$C19,'Inhalation Exposure'!$L:$L,"30",'Inhalation Exposure'!$Z:$Z,$D$4)</f>
        <v>0</v>
      </c>
      <c r="G19" s="448">
        <f>SUMIFS('Inhalation Exposure'!$J:$J,'Inhalation Exposure'!$C:$C,$C$4,'Inhalation Exposure'!$D:$D,$C19,'Inhalation Exposure'!$L:$L,"60",'Inhalation Exposure'!$Z:$Z,$D$4)</f>
        <v>0</v>
      </c>
      <c r="H19" s="449">
        <f>SUMIFS('Inhalation Exposure'!$J:$J,'Inhalation Exposure'!$C:$C,$C$4,'Inhalation Exposure'!$D:$D,$C19,'Inhalation Exposure'!$L:$L,"240",'Inhalation Exposure'!$Z:$Z,$D$4)</f>
        <v>0</v>
      </c>
      <c r="I19" s="305"/>
      <c r="AH19" s="303"/>
      <c r="AI19" s="331"/>
    </row>
    <row r="20" spans="1:83" s="18" customFormat="1" ht="15" customHeight="1" x14ac:dyDescent="0.35">
      <c r="C20" s="175" t="s">
        <v>31</v>
      </c>
      <c r="D20" s="576" t="s">
        <v>35</v>
      </c>
      <c r="E20" s="225">
        <f>SUMIFS('Inhalation Exposure'!$O:$O,'Inhalation Exposure'!$C:$C,$C$4,'Inhalation Exposure'!$D:$D,$C20,'Inhalation Exposure'!$Z:$Z,$D$4)</f>
        <v>2</v>
      </c>
      <c r="F20" s="225">
        <f>SUMIFS('Inhalation Exposure'!$K:$K,'Inhalation Exposure'!$C:$C,$C$4,'Inhalation Exposure'!$D:$D,$C20,'Inhalation Exposure'!$M:$M,"30",'Inhalation Exposure'!$Z:$Z,$D$4)</f>
        <v>0.70710678118654746</v>
      </c>
      <c r="G20" s="225">
        <f>SUMIFS('Inhalation Exposure'!$K:$K,'Inhalation Exposure'!$C:$C,$C$4,'Inhalation Exposure'!$D:$D,$C20,'Inhalation Exposure'!$M:$M,"60",'Inhalation Exposure'!$Z:$Z,$D$4)</f>
        <v>0</v>
      </c>
      <c r="H20" s="230">
        <f>SUMIFS('Inhalation Exposure'!$K:$K,'Inhalation Exposure'!$C:$C,$C$4,'Inhalation Exposure'!$D:$D,$C20,'Inhalation Exposure'!$M:$M,"240",'Inhalation Exposure'!$Z:$Z,$D$4)</f>
        <v>0</v>
      </c>
      <c r="I20" s="305"/>
      <c r="AH20" s="303"/>
      <c r="AI20" s="331"/>
    </row>
    <row r="21" spans="1:83" s="18" customFormat="1" ht="15" customHeight="1" thickBot="1" x14ac:dyDescent="0.4">
      <c r="C21" s="194" t="s">
        <v>34</v>
      </c>
      <c r="D21" s="577"/>
      <c r="E21" s="448">
        <f>SUMIFS('Inhalation Exposure'!$O:$O,'Inhalation Exposure'!$C:$C,$C$4,'Inhalation Exposure'!$D:$D,$C21,'Inhalation Exposure'!$Z:$Z,$D$4)</f>
        <v>0</v>
      </c>
      <c r="F21" s="448">
        <f>SUMIFS('Inhalation Exposure'!$K:$K,'Inhalation Exposure'!$C:$C,$C$4,'Inhalation Exposure'!$D:$D,$C21,'Inhalation Exposure'!$M:$M,"30",'Inhalation Exposure'!$Z:$Z,$D$4)</f>
        <v>0</v>
      </c>
      <c r="G21" s="448">
        <f>SUMIFS('Inhalation Exposure'!$K:$K,'Inhalation Exposure'!$C:$C,$C$4,'Inhalation Exposure'!$D:$D,$C21,'Inhalation Exposure'!$M:$M,"60",'Inhalation Exposure'!$Z:$Z,$D$4)</f>
        <v>0</v>
      </c>
      <c r="H21" s="449">
        <f>SUMIFS('Inhalation Exposure'!$K:$K,'Inhalation Exposure'!$C:$C,$C$4,'Inhalation Exposure'!$D:$D,$C21,'Inhalation Exposure'!$M:$M,"240",'Inhalation Exposure'!$Z:$Z,$D$4)</f>
        <v>0</v>
      </c>
      <c r="I21" s="305"/>
      <c r="AH21" s="303"/>
      <c r="AI21" s="331"/>
      <c r="BV21" s="16"/>
    </row>
    <row r="22" spans="1:83" s="18" customFormat="1" ht="24" hidden="1" customHeight="1" x14ac:dyDescent="0.35">
      <c r="A22" s="16"/>
      <c r="B22" s="15"/>
      <c r="C22" s="2"/>
      <c r="AO22" s="16"/>
      <c r="AP22" s="28"/>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29"/>
      <c r="BY22" s="29"/>
      <c r="BZ22" s="29"/>
      <c r="CA22" s="29"/>
      <c r="CB22" s="29"/>
      <c r="CC22" s="29"/>
      <c r="CD22" s="29"/>
      <c r="CE22" s="29"/>
    </row>
    <row r="23" spans="1:83" s="18" customFormat="1" ht="28.5" hidden="1" customHeight="1" thickBot="1" x14ac:dyDescent="0.55000000000000004">
      <c r="A23" s="16"/>
      <c r="B23" s="15"/>
      <c r="C23" s="336" t="s">
        <v>46</v>
      </c>
      <c r="AO23" s="16"/>
      <c r="AP23" s="28"/>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29"/>
      <c r="CA23" s="29"/>
      <c r="CB23" s="29"/>
      <c r="CC23" s="29"/>
      <c r="CD23" s="29"/>
      <c r="CE23" s="29"/>
    </row>
    <row r="24" spans="1:83" s="18" customFormat="1" ht="30.75" hidden="1" customHeight="1" x14ac:dyDescent="0.35">
      <c r="A24" s="16"/>
      <c r="B24" s="338"/>
      <c r="C24" s="530" t="s">
        <v>47</v>
      </c>
      <c r="D24" s="551" t="s">
        <v>48</v>
      </c>
      <c r="E24" s="551" t="s">
        <v>49</v>
      </c>
      <c r="F24" s="551" t="s">
        <v>50</v>
      </c>
      <c r="G24" s="551" t="s">
        <v>15</v>
      </c>
      <c r="H24" s="583" t="s">
        <v>51</v>
      </c>
      <c r="I24" s="583"/>
      <c r="J24" s="543" t="str">
        <f>_xlfn.CONCAT("Respirator Scenario: APF of ",$J$4)</f>
        <v>Respirator Scenario: APF of 25</v>
      </c>
      <c r="K24" s="544"/>
      <c r="L24" s="2"/>
      <c r="M24" s="2"/>
      <c r="N24" s="2"/>
      <c r="O24" s="2"/>
      <c r="P24" s="2"/>
      <c r="Q24" s="2"/>
      <c r="R24" s="2"/>
      <c r="S24" s="2"/>
      <c r="T24" s="2"/>
      <c r="U24" s="2"/>
      <c r="V24" s="2"/>
      <c r="W24" s="2"/>
      <c r="X24" s="2"/>
      <c r="Y24" s="2"/>
      <c r="Z24" s="2"/>
      <c r="AA24" s="2"/>
      <c r="AB24" s="2"/>
      <c r="AC24" s="2"/>
      <c r="AD24" s="2"/>
      <c r="AE24" s="2"/>
      <c r="AF24" s="2"/>
      <c r="AN24" s="16"/>
      <c r="AO24" s="28"/>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29"/>
      <c r="BX24" s="29"/>
      <c r="BY24" s="29"/>
      <c r="BZ24" s="29"/>
      <c r="CA24" s="29"/>
      <c r="CB24" s="29"/>
      <c r="CC24" s="29"/>
      <c r="CD24" s="29"/>
    </row>
    <row r="25" spans="1:83" s="18" customFormat="1" ht="39" hidden="1" x14ac:dyDescent="0.35">
      <c r="A25" s="16"/>
      <c r="B25" s="353" t="s">
        <v>52</v>
      </c>
      <c r="C25" s="592"/>
      <c r="D25" s="558"/>
      <c r="E25" s="558"/>
      <c r="F25" s="558"/>
      <c r="G25" s="558"/>
      <c r="H25" s="485" t="s">
        <v>53</v>
      </c>
      <c r="I25" s="485" t="s">
        <v>54</v>
      </c>
      <c r="J25" s="485" t="s">
        <v>53</v>
      </c>
      <c r="K25" s="301" t="s">
        <v>54</v>
      </c>
      <c r="L25" s="2"/>
      <c r="M25" s="2"/>
      <c r="N25" s="2"/>
      <c r="O25" s="2"/>
      <c r="P25" s="2"/>
      <c r="Q25" s="2"/>
      <c r="R25" s="2"/>
      <c r="S25" s="2"/>
      <c r="T25" s="2"/>
      <c r="U25" s="2"/>
      <c r="V25" s="2"/>
      <c r="W25" s="2"/>
      <c r="X25" s="2"/>
      <c r="Y25" s="2"/>
      <c r="Z25" s="2"/>
      <c r="AA25" s="2"/>
      <c r="AB25" s="2"/>
      <c r="AC25" s="2"/>
      <c r="AD25" s="2"/>
      <c r="AE25" s="2"/>
      <c r="AF25" s="2"/>
      <c r="AG25" s="337"/>
      <c r="AN25" s="16"/>
      <c r="AO25" s="28"/>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X25" s="29"/>
      <c r="BY25" s="29"/>
    </row>
    <row r="26" spans="1:83" s="18" customFormat="1" hidden="1" x14ac:dyDescent="0.35">
      <c r="A26" s="16"/>
      <c r="B26" s="517" t="s">
        <v>55</v>
      </c>
      <c r="C26" s="514" t="s">
        <v>56</v>
      </c>
      <c r="D26" s="513">
        <f>VLOOKUP($B26,'Hazard Values'!$F$6:$L$10,3,FALSE)</f>
        <v>35.385635892178733</v>
      </c>
      <c r="E26" s="513">
        <f>VLOOKUP($B26,'Hazard Values'!$F$6:$L$10,5,FALSE)</f>
        <v>235.90423928119156</v>
      </c>
      <c r="F26" s="513">
        <f>VLOOKUP($B26,'Hazard Values'!$F$6:$L$10,7,FALSE)</f>
        <v>1621.8416450581919</v>
      </c>
      <c r="G26" s="385" t="s">
        <v>57</v>
      </c>
      <c r="H26" s="486">
        <f>$E$18</f>
        <v>15</v>
      </c>
      <c r="I26" s="486">
        <f>$E$19</f>
        <v>0</v>
      </c>
      <c r="J26" s="486">
        <f t="shared" ref="J26:J35" si="1">IFERROR(H26/$J$4,"")</f>
        <v>0.6</v>
      </c>
      <c r="K26" s="378">
        <f t="shared" ref="K26:K35" si="2">IFERROR(I26/$J$4,"")</f>
        <v>0</v>
      </c>
      <c r="L26" s="2"/>
      <c r="M26" s="2"/>
      <c r="N26" s="2"/>
      <c r="O26" s="2"/>
      <c r="P26" s="2"/>
      <c r="Q26" s="2"/>
      <c r="R26" s="2"/>
      <c r="S26" s="2"/>
      <c r="T26" s="2"/>
      <c r="U26" s="2"/>
      <c r="V26" s="2"/>
      <c r="W26" s="2"/>
      <c r="X26" s="2"/>
      <c r="Y26" s="2"/>
      <c r="Z26" s="2"/>
      <c r="AA26" s="2"/>
      <c r="AB26" s="2"/>
      <c r="AC26" s="2"/>
      <c r="AD26" s="2"/>
      <c r="AE26" s="2"/>
      <c r="AF26" s="2"/>
      <c r="AG26" s="335"/>
      <c r="AN26" s="16"/>
      <c r="AO26" s="28"/>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16"/>
      <c r="BZ26" s="16"/>
      <c r="CA26" s="16"/>
      <c r="CB26" s="16"/>
      <c r="CC26" s="16"/>
      <c r="CD26" s="16"/>
    </row>
    <row r="27" spans="1:83" s="18" customFormat="1" hidden="1" x14ac:dyDescent="0.35">
      <c r="A27" s="16"/>
      <c r="B27" s="517"/>
      <c r="C27" s="515"/>
      <c r="D27" s="513"/>
      <c r="E27" s="513"/>
      <c r="F27" s="513"/>
      <c r="G27" s="386" t="s">
        <v>35</v>
      </c>
      <c r="H27" s="376">
        <f>$E$20</f>
        <v>2</v>
      </c>
      <c r="I27" s="377">
        <f>$E$21</f>
        <v>0</v>
      </c>
      <c r="J27" s="379">
        <f t="shared" si="1"/>
        <v>0.08</v>
      </c>
      <c r="K27" s="380">
        <f t="shared" si="2"/>
        <v>0</v>
      </c>
      <c r="L27" s="2"/>
      <c r="M27" s="2"/>
      <c r="N27" s="2"/>
      <c r="O27" s="2"/>
      <c r="P27" s="2"/>
      <c r="Q27" s="2"/>
      <c r="R27" s="2"/>
      <c r="S27" s="2"/>
      <c r="T27" s="2"/>
      <c r="U27" s="2"/>
      <c r="V27" s="2"/>
      <c r="W27" s="2"/>
      <c r="X27" s="2"/>
      <c r="Y27" s="2"/>
      <c r="Z27" s="2"/>
      <c r="AA27" s="2"/>
      <c r="AB27" s="2"/>
      <c r="AC27" s="2"/>
      <c r="AD27" s="2"/>
      <c r="AE27" s="2"/>
      <c r="AF27" s="2"/>
      <c r="AG27" s="335"/>
      <c r="AN27" s="16"/>
      <c r="AO27" s="28"/>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16"/>
      <c r="BX27" s="16"/>
      <c r="BY27" s="16"/>
      <c r="BZ27" s="16"/>
      <c r="CA27" s="16"/>
      <c r="CB27" s="16"/>
      <c r="CC27" s="16"/>
      <c r="CD27" s="16"/>
    </row>
    <row r="28" spans="1:83" s="18" customFormat="1" hidden="1" x14ac:dyDescent="0.35">
      <c r="A28" s="16"/>
      <c r="B28" s="517" t="s">
        <v>58</v>
      </c>
      <c r="C28" s="514" t="s">
        <v>59</v>
      </c>
      <c r="D28" s="518">
        <f>VLOOKUP($B28,'Hazard Values'!$F$6:$L$10,3,FALSE)</f>
        <v>35.385635892178733</v>
      </c>
      <c r="E28" s="518">
        <f>VLOOKUP($B28,'Hazard Values'!$F$6:$L$10,5,FALSE)</f>
        <v>235.90423928119156</v>
      </c>
      <c r="F28" s="518">
        <f>VLOOKUP($B28,'Hazard Values'!$F$6:$L$10,7,FALSE)</f>
        <v>1621.8416450581919</v>
      </c>
      <c r="G28" s="385" t="s">
        <v>57</v>
      </c>
      <c r="H28" s="486">
        <f>$F$18</f>
        <v>12.149999999999999</v>
      </c>
      <c r="I28" s="486">
        <f>$F$19</f>
        <v>0</v>
      </c>
      <c r="J28" s="486">
        <f t="shared" si="1"/>
        <v>0.48599999999999993</v>
      </c>
      <c r="K28" s="378">
        <f t="shared" si="2"/>
        <v>0</v>
      </c>
      <c r="L28" s="2"/>
      <c r="M28" s="2"/>
      <c r="N28" s="2"/>
      <c r="O28" s="2"/>
      <c r="P28" s="2"/>
      <c r="Q28" s="2"/>
      <c r="R28" s="2"/>
      <c r="S28" s="2"/>
      <c r="T28" s="2"/>
      <c r="U28" s="2"/>
      <c r="V28" s="2"/>
      <c r="W28" s="2"/>
      <c r="X28" s="2"/>
      <c r="Y28" s="2"/>
      <c r="Z28" s="2"/>
      <c r="AA28" s="2"/>
      <c r="AB28" s="2"/>
      <c r="AC28" s="2"/>
      <c r="AD28" s="2"/>
      <c r="AE28" s="2"/>
      <c r="AF28" s="2"/>
      <c r="AG28" s="335"/>
      <c r="AN28" s="16"/>
      <c r="AO28" s="28"/>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16"/>
      <c r="BX28" s="16"/>
      <c r="BY28" s="16"/>
      <c r="BZ28" s="16"/>
      <c r="CA28" s="16"/>
      <c r="CB28" s="16"/>
      <c r="CC28" s="16"/>
      <c r="CD28" s="16"/>
    </row>
    <row r="29" spans="1:83" s="18" customFormat="1" hidden="1" x14ac:dyDescent="0.35">
      <c r="A29" s="16"/>
      <c r="B29" s="517"/>
      <c r="C29" s="515"/>
      <c r="D29" s="519"/>
      <c r="E29" s="519"/>
      <c r="F29" s="519"/>
      <c r="G29" s="386" t="s">
        <v>35</v>
      </c>
      <c r="H29" s="376">
        <f>$F$20</f>
        <v>0.70710678118654746</v>
      </c>
      <c r="I29" s="377">
        <f>$F$21</f>
        <v>0</v>
      </c>
      <c r="J29" s="379">
        <f t="shared" si="1"/>
        <v>2.8284271247461898E-2</v>
      </c>
      <c r="K29" s="380">
        <f t="shared" si="2"/>
        <v>0</v>
      </c>
      <c r="L29" s="2"/>
      <c r="M29" s="2"/>
      <c r="N29" s="2"/>
      <c r="O29" s="2"/>
      <c r="P29" s="2"/>
      <c r="Q29" s="2"/>
      <c r="R29" s="2"/>
      <c r="S29" s="2"/>
      <c r="T29" s="2"/>
      <c r="U29" s="2"/>
      <c r="V29" s="2"/>
      <c r="W29" s="2"/>
      <c r="X29" s="2"/>
      <c r="Y29" s="2"/>
      <c r="Z29" s="2"/>
      <c r="AA29" s="2"/>
      <c r="AB29" s="2"/>
      <c r="AC29" s="2"/>
      <c r="AD29" s="2"/>
      <c r="AE29" s="2"/>
      <c r="AF29" s="2"/>
      <c r="AG29" s="335"/>
      <c r="AN29" s="16"/>
      <c r="AO29" s="28"/>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16"/>
      <c r="BX29" s="16"/>
      <c r="BY29" s="16"/>
      <c r="BZ29" s="16"/>
      <c r="CA29" s="16"/>
      <c r="CB29" s="16"/>
      <c r="CC29" s="16"/>
      <c r="CD29" s="16"/>
    </row>
    <row r="30" spans="1:83" s="18" customFormat="1" hidden="1" x14ac:dyDescent="0.35">
      <c r="A30" s="16"/>
      <c r="B30" s="517" t="s">
        <v>60</v>
      </c>
      <c r="C30" s="514" t="s">
        <v>61</v>
      </c>
      <c r="D30" s="518">
        <f>VLOOKUP($B30,'Hazard Values'!$F$6:$L$10,3,FALSE)</f>
        <v>35.385635892178733</v>
      </c>
      <c r="E30" s="518">
        <f>VLOOKUP($B30,'Hazard Values'!$F$6:$L$10,5,FALSE)</f>
        <v>235.90423928119156</v>
      </c>
      <c r="F30" s="518">
        <f>VLOOKUP($B30,'Hazard Values'!$F$6:$L$10,7,FALSE)</f>
        <v>1194.2652113610322</v>
      </c>
      <c r="G30" s="385" t="s">
        <v>57</v>
      </c>
      <c r="H30" s="486">
        <f>$G$18</f>
        <v>0</v>
      </c>
      <c r="I30" s="486">
        <f>$G$19</f>
        <v>0</v>
      </c>
      <c r="J30" s="486">
        <f t="shared" si="1"/>
        <v>0</v>
      </c>
      <c r="K30" s="378">
        <f t="shared" si="2"/>
        <v>0</v>
      </c>
      <c r="L30" s="2"/>
      <c r="M30" s="2"/>
      <c r="N30" s="2"/>
      <c r="O30" s="2"/>
      <c r="P30" s="2"/>
      <c r="Q30" s="2"/>
      <c r="R30" s="2"/>
      <c r="S30" s="2"/>
      <c r="T30" s="2"/>
      <c r="U30" s="2"/>
      <c r="V30" s="2"/>
      <c r="W30" s="2"/>
      <c r="X30" s="2"/>
      <c r="Y30" s="2"/>
      <c r="Z30" s="2"/>
      <c r="AA30" s="2"/>
      <c r="AB30" s="2"/>
      <c r="AC30" s="2"/>
      <c r="AD30" s="2"/>
      <c r="AE30" s="2"/>
      <c r="AF30" s="2"/>
      <c r="AG30" s="335"/>
      <c r="AN30" s="16"/>
      <c r="AO30" s="28"/>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16"/>
      <c r="BX30" s="16"/>
      <c r="BY30" s="16"/>
      <c r="BZ30" s="16"/>
      <c r="CA30" s="16"/>
      <c r="CB30" s="16"/>
      <c r="CC30" s="16"/>
      <c r="CD30" s="16"/>
    </row>
    <row r="31" spans="1:83" s="18" customFormat="1" hidden="1" x14ac:dyDescent="0.35">
      <c r="A31" s="16"/>
      <c r="B31" s="517"/>
      <c r="C31" s="515"/>
      <c r="D31" s="519"/>
      <c r="E31" s="519"/>
      <c r="F31" s="519"/>
      <c r="G31" s="386" t="s">
        <v>35</v>
      </c>
      <c r="H31" s="376">
        <f>$G$20</f>
        <v>0</v>
      </c>
      <c r="I31" s="377">
        <f>$G$21</f>
        <v>0</v>
      </c>
      <c r="J31" s="379">
        <f t="shared" si="1"/>
        <v>0</v>
      </c>
      <c r="K31" s="380">
        <f t="shared" si="2"/>
        <v>0</v>
      </c>
      <c r="L31" s="2"/>
      <c r="M31" s="2"/>
      <c r="N31" s="2"/>
      <c r="O31" s="2"/>
      <c r="P31" s="2"/>
      <c r="Q31" s="2"/>
      <c r="R31" s="2"/>
      <c r="S31" s="2"/>
      <c r="T31" s="2"/>
      <c r="U31" s="2"/>
      <c r="V31" s="2"/>
      <c r="W31" s="2"/>
      <c r="X31" s="2"/>
      <c r="Y31" s="2"/>
      <c r="Z31" s="2"/>
      <c r="AA31" s="2"/>
      <c r="AB31" s="2"/>
      <c r="AC31" s="2"/>
      <c r="AD31" s="2"/>
      <c r="AE31" s="2"/>
      <c r="AF31" s="2"/>
      <c r="AG31" s="335"/>
      <c r="AN31" s="16"/>
      <c r="AO31" s="28"/>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16"/>
      <c r="BX31" s="16"/>
      <c r="BY31" s="16"/>
      <c r="BZ31" s="16"/>
      <c r="CA31" s="16"/>
      <c r="CB31" s="16"/>
      <c r="CC31" s="16"/>
      <c r="CD31" s="16"/>
    </row>
    <row r="32" spans="1:83" s="18" customFormat="1" hidden="1" x14ac:dyDescent="0.35">
      <c r="A32" s="16"/>
      <c r="B32" s="517" t="s">
        <v>62</v>
      </c>
      <c r="C32" s="514" t="s">
        <v>63</v>
      </c>
      <c r="D32" s="518">
        <f>VLOOKUP($B32,'Hazard Values'!$F$6:$L$10,3,FALSE)</f>
        <v>35.385635892178733</v>
      </c>
      <c r="E32" s="518">
        <f>VLOOKUP($B32,'Hazard Values'!$F$6:$L$10,5,FALSE)</f>
        <v>119.42652113610322</v>
      </c>
      <c r="F32" s="518">
        <f>VLOOKUP($B32,'Hazard Values'!$F$6:$L$10,7,FALSE)</f>
        <v>575.01658324790446</v>
      </c>
      <c r="G32" s="385" t="s">
        <v>57</v>
      </c>
      <c r="H32" s="486">
        <f>$H$18</f>
        <v>0</v>
      </c>
      <c r="I32" s="486">
        <f>$H$19</f>
        <v>0</v>
      </c>
      <c r="J32" s="486">
        <f t="shared" si="1"/>
        <v>0</v>
      </c>
      <c r="K32" s="378">
        <f t="shared" si="2"/>
        <v>0</v>
      </c>
      <c r="L32" s="2"/>
      <c r="M32" s="2"/>
      <c r="N32" s="2"/>
      <c r="O32" s="2"/>
      <c r="P32" s="2"/>
      <c r="Q32" s="2"/>
      <c r="R32" s="2"/>
      <c r="S32" s="2"/>
      <c r="T32" s="2"/>
      <c r="U32" s="2"/>
      <c r="V32" s="2"/>
      <c r="W32" s="2"/>
      <c r="X32" s="2"/>
      <c r="Y32" s="2"/>
      <c r="Z32" s="2"/>
      <c r="AA32" s="2"/>
      <c r="AB32" s="2"/>
      <c r="AC32" s="2"/>
      <c r="AD32" s="2"/>
      <c r="AE32" s="2"/>
      <c r="AF32" s="2"/>
      <c r="AG32" s="335"/>
      <c r="AN32" s="16"/>
      <c r="AO32" s="28"/>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16"/>
      <c r="BX32" s="16"/>
      <c r="BY32" s="16"/>
      <c r="BZ32" s="16"/>
      <c r="CA32" s="16"/>
      <c r="CB32" s="16"/>
      <c r="CC32" s="16"/>
      <c r="CD32" s="16"/>
    </row>
    <row r="33" spans="1:83" s="18" customFormat="1" hidden="1" x14ac:dyDescent="0.35">
      <c r="A33" s="16"/>
      <c r="B33" s="517"/>
      <c r="C33" s="515"/>
      <c r="D33" s="519"/>
      <c r="E33" s="519"/>
      <c r="F33" s="519"/>
      <c r="G33" s="386" t="s">
        <v>35</v>
      </c>
      <c r="H33" s="376">
        <f>$H$20</f>
        <v>0</v>
      </c>
      <c r="I33" s="377">
        <f>$H$21</f>
        <v>0</v>
      </c>
      <c r="J33" s="379">
        <f t="shared" si="1"/>
        <v>0</v>
      </c>
      <c r="K33" s="380">
        <f t="shared" si="2"/>
        <v>0</v>
      </c>
      <c r="L33" s="2"/>
      <c r="M33" s="2"/>
      <c r="N33" s="2"/>
      <c r="O33" s="2"/>
      <c r="P33" s="2"/>
      <c r="Q33" s="2"/>
      <c r="R33" s="2"/>
      <c r="S33" s="2"/>
      <c r="T33" s="2"/>
      <c r="U33" s="2"/>
      <c r="V33" s="2"/>
      <c r="W33" s="2"/>
      <c r="X33" s="2"/>
      <c r="Y33" s="2"/>
      <c r="Z33" s="2"/>
      <c r="AA33" s="2"/>
      <c r="AB33" s="2"/>
      <c r="AC33" s="2"/>
      <c r="AD33" s="2"/>
      <c r="AE33" s="2"/>
      <c r="AF33" s="2"/>
      <c r="AG33" s="335"/>
      <c r="AN33" s="16"/>
      <c r="AO33" s="28"/>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16"/>
      <c r="BX33" s="16"/>
      <c r="BY33" s="16"/>
      <c r="BZ33" s="16"/>
      <c r="CA33" s="16"/>
      <c r="CB33" s="16"/>
      <c r="CC33" s="16"/>
      <c r="CD33" s="16"/>
    </row>
    <row r="34" spans="1:83" s="18" customFormat="1" hidden="1" x14ac:dyDescent="0.35">
      <c r="A34" s="16"/>
      <c r="B34" s="517" t="s">
        <v>64</v>
      </c>
      <c r="C34" s="514" t="s">
        <v>65</v>
      </c>
      <c r="D34" s="518">
        <f>VLOOKUP($B34,'Hazard Values'!$F$6:$L$10,3,FALSE)</f>
        <v>35.385635892178733</v>
      </c>
      <c r="E34" s="518">
        <f>VLOOKUP($B34,'Hazard Values'!$F$6:$L$10,5,FALSE)</f>
        <v>81.092082252909591</v>
      </c>
      <c r="F34" s="518">
        <f>VLOOKUP($B34,'Hazard Values'!$F$6:$L$10,7,FALSE)</f>
        <v>412.83241874208522</v>
      </c>
      <c r="G34" s="385" t="s">
        <v>57</v>
      </c>
      <c r="H34" s="486">
        <f>$E$10</f>
        <v>2.6617249999999997</v>
      </c>
      <c r="I34" s="486">
        <f>$E$11</f>
        <v>9.1749999999999998E-2</v>
      </c>
      <c r="J34" s="486">
        <f t="shared" si="1"/>
        <v>0.10646899999999998</v>
      </c>
      <c r="K34" s="378">
        <f t="shared" si="2"/>
        <v>3.6700000000000001E-3</v>
      </c>
      <c r="L34" s="2"/>
      <c r="M34" s="2"/>
      <c r="N34" s="2"/>
      <c r="O34" s="2"/>
      <c r="P34" s="2"/>
      <c r="Q34" s="2"/>
      <c r="R34" s="2"/>
      <c r="S34" s="2"/>
      <c r="T34" s="2"/>
      <c r="U34" s="2"/>
      <c r="V34" s="2"/>
      <c r="W34" s="2"/>
      <c r="X34" s="2"/>
      <c r="Y34" s="2"/>
      <c r="Z34" s="2"/>
      <c r="AA34" s="2"/>
      <c r="AB34" s="2"/>
      <c r="AC34" s="2"/>
      <c r="AD34" s="2"/>
      <c r="AE34" s="2"/>
      <c r="AF34" s="2"/>
      <c r="AG34" s="335"/>
      <c r="AN34" s="16"/>
      <c r="AO34" s="28"/>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16"/>
      <c r="BX34" s="16"/>
      <c r="BY34" s="16"/>
      <c r="BZ34" s="16"/>
      <c r="CA34" s="16"/>
      <c r="CB34" s="16"/>
      <c r="CC34" s="16"/>
      <c r="CD34" s="16"/>
    </row>
    <row r="35" spans="1:83" s="18" customFormat="1" ht="15" hidden="1" thickBot="1" x14ac:dyDescent="0.4">
      <c r="A35" s="16"/>
      <c r="B35" s="517"/>
      <c r="C35" s="516"/>
      <c r="D35" s="520"/>
      <c r="E35" s="520"/>
      <c r="F35" s="520"/>
      <c r="G35" s="387" t="s">
        <v>35</v>
      </c>
      <c r="H35" s="381">
        <f>$E$12</f>
        <v>3.2500000000000001E-2</v>
      </c>
      <c r="I35" s="382">
        <f>$E$13</f>
        <v>3.3941125496954279E-2</v>
      </c>
      <c r="J35" s="383">
        <f t="shared" si="1"/>
        <v>1.2999999999999999E-3</v>
      </c>
      <c r="K35" s="384">
        <f t="shared" si="2"/>
        <v>1.3576450198781711E-3</v>
      </c>
      <c r="L35" s="2"/>
      <c r="M35" s="2"/>
      <c r="N35" s="2"/>
      <c r="O35" s="2"/>
      <c r="P35" s="2"/>
      <c r="Q35" s="2"/>
      <c r="R35" s="2"/>
      <c r="S35" s="2"/>
      <c r="T35" s="2"/>
      <c r="U35" s="2"/>
      <c r="V35" s="2"/>
      <c r="W35" s="2"/>
      <c r="X35" s="2"/>
      <c r="Y35" s="2"/>
      <c r="Z35" s="2"/>
      <c r="AA35" s="2"/>
      <c r="AB35" s="2"/>
      <c r="AC35" s="2"/>
      <c r="AD35" s="2"/>
      <c r="AE35" s="2"/>
      <c r="AF35" s="2"/>
      <c r="AG35" s="335"/>
      <c r="AN35" s="16"/>
      <c r="AO35" s="28"/>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16"/>
      <c r="BX35" s="16"/>
      <c r="BY35" s="16"/>
      <c r="BZ35" s="16"/>
      <c r="CA35" s="16"/>
      <c r="CB35" s="16"/>
      <c r="CC35" s="16"/>
      <c r="CD35" s="16"/>
    </row>
    <row r="36" spans="1:83" s="30" customFormat="1" ht="30" hidden="1" customHeight="1" x14ac:dyDescent="0.35">
      <c r="A36" s="18"/>
      <c r="B36" s="25"/>
      <c r="C36" s="24"/>
      <c r="D36" s="492"/>
      <c r="E36" s="28"/>
      <c r="F36" s="18"/>
      <c r="G36" s="428"/>
      <c r="H36" s="492"/>
      <c r="I36" s="492"/>
      <c r="J36" s="492"/>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24"/>
      <c r="AJ36" s="492"/>
      <c r="AK36" s="28"/>
      <c r="AL36" s="18"/>
      <c r="AM36" s="492"/>
      <c r="AN36" s="18"/>
      <c r="AO36" s="18"/>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8"/>
      <c r="BX36" s="16"/>
      <c r="BY36" s="16"/>
      <c r="BZ36" s="16"/>
      <c r="CA36" s="16"/>
      <c r="CB36" s="16"/>
      <c r="CC36" s="16"/>
      <c r="CD36" s="16"/>
      <c r="CE36" s="16"/>
    </row>
    <row r="37" spans="1:83" s="30" customFormat="1" ht="30" customHeight="1" thickBot="1" x14ac:dyDescent="0.4">
      <c r="A37" s="18"/>
      <c r="B37" s="25"/>
      <c r="C37" s="27" t="s">
        <v>66</v>
      </c>
      <c r="D37" s="492"/>
      <c r="E37" s="28"/>
      <c r="F37" s="18"/>
      <c r="G37" s="492"/>
      <c r="H37" s="18"/>
      <c r="I37" s="18"/>
      <c r="J37" s="18"/>
      <c r="K37" s="18"/>
      <c r="L37" s="18"/>
      <c r="M37" s="18"/>
      <c r="N37" s="568" t="s">
        <v>67</v>
      </c>
      <c r="O37" s="568"/>
      <c r="P37" s="568"/>
      <c r="Q37" s="569"/>
      <c r="R37" s="18"/>
      <c r="S37" s="18"/>
      <c r="T37" s="18"/>
      <c r="U37" s="16"/>
      <c r="V37" s="16"/>
      <c r="W37" s="16"/>
      <c r="X37" s="18"/>
      <c r="Y37" s="18"/>
      <c r="Z37" s="18"/>
      <c r="AA37" s="18"/>
      <c r="AB37" s="18"/>
      <c r="AC37" s="18"/>
      <c r="AD37" s="18"/>
      <c r="AE37" s="18"/>
      <c r="AF37" s="18"/>
      <c r="AG37" s="18"/>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8"/>
      <c r="BS37" s="18"/>
      <c r="BT37" s="18"/>
      <c r="BU37" s="18"/>
      <c r="BV37" s="16"/>
      <c r="BW37" s="16"/>
      <c r="BX37" s="16"/>
      <c r="BY37" s="16"/>
      <c r="BZ37" s="16"/>
      <c r="CA37" s="16"/>
      <c r="CB37" s="16"/>
      <c r="CC37" s="16"/>
      <c r="CD37" s="16"/>
    </row>
    <row r="38" spans="1:83" s="30" customFormat="1" ht="30" customHeight="1" x14ac:dyDescent="0.35">
      <c r="A38" s="18"/>
      <c r="B38" s="25"/>
      <c r="C38" s="530" t="s">
        <v>68</v>
      </c>
      <c r="D38" s="551" t="s">
        <v>69</v>
      </c>
      <c r="E38" s="553" t="s">
        <v>15</v>
      </c>
      <c r="F38" s="555" t="s">
        <v>70</v>
      </c>
      <c r="G38" s="551" t="s">
        <v>71</v>
      </c>
      <c r="H38" s="551"/>
      <c r="I38" s="543" t="str">
        <f>_xlfn.CONCAT("Respirator Scenario: APF of ",$J$4)</f>
        <v>Respirator Scenario: APF of 25</v>
      </c>
      <c r="J38" s="544"/>
      <c r="K38" s="68"/>
      <c r="L38" s="68"/>
      <c r="M38" s="68"/>
      <c r="N38" s="530" t="s">
        <v>68</v>
      </c>
      <c r="O38" s="551" t="s">
        <v>72</v>
      </c>
      <c r="P38" s="553" t="s">
        <v>15</v>
      </c>
      <c r="Q38" s="555" t="s">
        <v>70</v>
      </c>
      <c r="R38" s="483" t="s">
        <v>71</v>
      </c>
      <c r="S38" s="543" t="s">
        <v>73</v>
      </c>
      <c r="T38" s="544"/>
      <c r="U38" s="16"/>
      <c r="V38" s="16"/>
      <c r="W38" s="16"/>
      <c r="X38" s="68"/>
      <c r="Y38" s="68"/>
      <c r="Z38" s="68"/>
      <c r="AA38" s="68"/>
      <c r="AB38" s="68"/>
      <c r="AC38" s="68"/>
      <c r="AD38" s="68"/>
      <c r="AE38" s="68"/>
      <c r="AF38" s="68"/>
      <c r="AG38" s="68"/>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row>
    <row r="39" spans="1:83" s="30" customFormat="1" ht="30" customHeight="1" thickBot="1" x14ac:dyDescent="0.4">
      <c r="A39" s="18"/>
      <c r="B39" s="25"/>
      <c r="C39" s="529"/>
      <c r="D39" s="552"/>
      <c r="E39" s="571"/>
      <c r="F39" s="570"/>
      <c r="G39" s="487" t="s">
        <v>74</v>
      </c>
      <c r="H39" s="487" t="s">
        <v>75</v>
      </c>
      <c r="I39" s="487" t="s">
        <v>74</v>
      </c>
      <c r="J39" s="294" t="s">
        <v>75</v>
      </c>
      <c r="K39" s="68"/>
      <c r="L39" s="68"/>
      <c r="M39" s="68"/>
      <c r="N39" s="557"/>
      <c r="O39" s="558"/>
      <c r="P39" s="554"/>
      <c r="Q39" s="559"/>
      <c r="R39" s="484" t="s">
        <v>76</v>
      </c>
      <c r="S39" s="291" t="str">
        <f>_xlfn.CONCAT("Worker MOE with Gloves: ",$K$4)</f>
        <v>Worker MOE with Gloves: 5</v>
      </c>
      <c r="T39" s="123" t="s">
        <v>77</v>
      </c>
      <c r="U39" s="16"/>
      <c r="V39" s="16"/>
      <c r="W39" s="16"/>
      <c r="X39" s="68"/>
      <c r="Y39" s="68"/>
      <c r="Z39" s="68"/>
      <c r="AA39" s="68"/>
      <c r="AB39" s="68"/>
      <c r="AC39" s="68"/>
      <c r="AD39" s="68"/>
      <c r="AE39" s="68"/>
      <c r="AF39" s="68"/>
      <c r="AG39" s="68"/>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row>
    <row r="40" spans="1:83" s="30" customFormat="1" ht="30" customHeight="1" x14ac:dyDescent="0.35">
      <c r="A40" s="18"/>
      <c r="B40" s="25" t="str">
        <f>IFERROR(IF(VLOOKUP(VLOOKUP($C$4&amp;$D$4,'List Values'!$N$2:$O$62,2,FALSE),'Inhalation Exposure'!$B$5:$Z$65,4,FALSE)="8-hr","Tox21",IF(VLOOKUP(VLOOKUP($C$4&amp;$D$4,'List Values'!$N$2:$O$62,2,FALSE),'Inhalation Exposure'!$B$5:$Z$65,4,FALSE)="12-hr","Tox22","N/A")),"Tox21")</f>
        <v>Tox21</v>
      </c>
      <c r="C40" s="531" t="s">
        <v>78</v>
      </c>
      <c r="D40" s="533">
        <f>VLOOKUP($B40, 'Hazard Values'!$G$6:$M$35, 3, FALSE)</f>
        <v>5</v>
      </c>
      <c r="E40" s="97" t="s">
        <v>32</v>
      </c>
      <c r="F40" s="490">
        <f>VLOOKUP($B40, 'Hazard Values'!$G$6:$M$34, 6,FALSE )</f>
        <v>10</v>
      </c>
      <c r="G40" s="427">
        <f>IFERROR(D40/$E$10, "")</f>
        <v>1.8784810602147106</v>
      </c>
      <c r="H40" s="50">
        <f>IFERROR(D40/$E$11, "")</f>
        <v>54.495912806539508</v>
      </c>
      <c r="I40" s="446">
        <f t="shared" ref="I40" si="3">IFERROR(G40*$J$4,"")</f>
        <v>46.962026505367767</v>
      </c>
      <c r="J40" s="451" t="s">
        <v>79</v>
      </c>
      <c r="K40" s="68"/>
      <c r="L40" s="68"/>
      <c r="M40" s="68"/>
      <c r="N40" s="531" t="s">
        <v>78</v>
      </c>
      <c r="O40" s="508">
        <f>VLOOKUP($B40, 'Hazard Values'!$G$6:$M$34, 4, FALSE)</f>
        <v>4.25</v>
      </c>
      <c r="P40" s="97" t="s">
        <v>32</v>
      </c>
      <c r="Q40" s="166">
        <f>VLOOKUP($B40, 'Hazard Values'!$G$6:$M$34, 6,FALSE )</f>
        <v>10</v>
      </c>
      <c r="R40" s="50">
        <f>IFERROR(O40/$Q$10, "")</f>
        <v>1.2034437692670397</v>
      </c>
      <c r="S40" s="408">
        <f>IFERROR(O40/$Q$12, "")</f>
        <v>6.0172188463351981</v>
      </c>
      <c r="T40" s="65" t="str">
        <f>IFERROR(O40/$Q$14, "")</f>
        <v/>
      </c>
      <c r="U40" s="16"/>
      <c r="V40" s="16"/>
      <c r="W40" s="16"/>
      <c r="X40" s="68"/>
      <c r="Y40" s="68"/>
      <c r="Z40" s="68"/>
      <c r="AA40" s="68"/>
      <c r="AB40" s="68"/>
      <c r="AC40" s="68"/>
      <c r="AD40" s="68"/>
      <c r="AE40" s="68"/>
      <c r="AF40" s="68"/>
      <c r="AG40" s="68"/>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row>
    <row r="41" spans="1:83" s="30" customFormat="1" ht="30" customHeight="1" thickBot="1" x14ac:dyDescent="0.4">
      <c r="A41" s="18"/>
      <c r="B41" s="25" t="str">
        <f>IFERROR(IF(VLOOKUP(VLOOKUP($C$4&amp;$D$4,'List Values'!$N$2:$O$62,2,FALSE),'Inhalation Exposure'!$B$5:$Z$65,4,FALSE)="8-hr","Tox21",IF(VLOOKUP(VLOOKUP($C$4&amp;$D$4,'List Values'!$N$2:$O$62,2,FALSE),'Inhalation Exposure'!$B$5:$Z$65,4,FALSE)="12-hr","Tox22","N/A")),"Tox21")</f>
        <v>Tox21</v>
      </c>
      <c r="C41" s="532"/>
      <c r="D41" s="534"/>
      <c r="E41" s="96" t="s">
        <v>80</v>
      </c>
      <c r="F41" s="491">
        <f>VLOOKUP($B41, 'Hazard Values'!$G$6:$M$34, 6,FALSE )</f>
        <v>10</v>
      </c>
      <c r="G41" s="441">
        <f>IFERROR(D40/$E$12, "")</f>
        <v>153.84615384615384</v>
      </c>
      <c r="H41" s="163">
        <f>IFERROR(D40/$E$13, "")</f>
        <v>147.31391274719741</v>
      </c>
      <c r="I41" s="447">
        <f>IFERROR(G41*$J$4,"")</f>
        <v>3846.1538461538462</v>
      </c>
      <c r="J41" s="452" t="s">
        <v>79</v>
      </c>
      <c r="K41" s="68"/>
      <c r="L41" s="68"/>
      <c r="M41" s="68"/>
      <c r="N41" s="532"/>
      <c r="O41" s="509"/>
      <c r="P41" s="96" t="s">
        <v>80</v>
      </c>
      <c r="Q41" s="167">
        <f>VLOOKUP($B41, 'Hazard Values'!$G$6:$M$34, 6,FALSE )</f>
        <v>10</v>
      </c>
      <c r="R41" s="163">
        <f>IFERROR(O40/$Q$11,"")</f>
        <v>3.6103313078011197</v>
      </c>
      <c r="S41" s="409">
        <f>IFERROR(O40/$Q$13,"")</f>
        <v>18.051656539005599</v>
      </c>
      <c r="T41" s="164" t="str">
        <f>IFERROR(O40/$Q$15,"")</f>
        <v/>
      </c>
      <c r="U41" s="16"/>
      <c r="V41" s="16"/>
      <c r="W41" s="16"/>
      <c r="X41" s="68"/>
      <c r="Y41" s="68"/>
      <c r="Z41" s="68"/>
      <c r="AA41" s="68"/>
      <c r="AB41" s="68"/>
      <c r="AC41" s="68"/>
      <c r="AD41" s="68"/>
      <c r="AE41" s="68"/>
      <c r="AF41" s="68"/>
      <c r="AG41" s="68"/>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row>
    <row r="42" spans="1:83" s="30" customFormat="1" ht="30" customHeight="1" x14ac:dyDescent="0.35">
      <c r="A42" s="18"/>
      <c r="B42" s="492"/>
      <c r="C42" s="333"/>
      <c r="D42" s="333"/>
      <c r="E42" s="333"/>
      <c r="F42" s="333"/>
      <c r="G42" s="333"/>
      <c r="H42" s="333"/>
      <c r="I42" s="333"/>
      <c r="J42" s="333"/>
      <c r="K42" s="333"/>
      <c r="L42" s="333"/>
      <c r="M42" s="333"/>
      <c r="N42" s="16"/>
      <c r="O42" s="16"/>
      <c r="P42" s="16"/>
      <c r="Q42" s="16"/>
      <c r="R42" s="16"/>
      <c r="S42" s="16"/>
      <c r="T42" s="16"/>
      <c r="U42" s="16"/>
      <c r="V42" s="16"/>
      <c r="W42" s="16"/>
      <c r="X42" s="333"/>
      <c r="Y42" s="333"/>
      <c r="Z42" s="333"/>
      <c r="AA42" s="333"/>
      <c r="AB42" s="333"/>
      <c r="AC42" s="333"/>
      <c r="AD42" s="333"/>
      <c r="AE42" s="333"/>
      <c r="AF42" s="333"/>
      <c r="AG42" s="333"/>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row>
    <row r="43" spans="1:83" s="30" customFormat="1" ht="30" customHeight="1" x14ac:dyDescent="0.35">
      <c r="A43" s="18"/>
      <c r="B43" s="492"/>
      <c r="C43" s="333"/>
      <c r="D43" s="333"/>
      <c r="E43" s="333"/>
      <c r="F43" s="333"/>
      <c r="G43" s="333"/>
      <c r="H43" s="333"/>
      <c r="I43" s="333"/>
      <c r="J43" s="333"/>
      <c r="K43" s="333"/>
      <c r="L43" s="333"/>
      <c r="M43" s="333"/>
      <c r="N43" s="16"/>
      <c r="O43" s="16"/>
      <c r="P43" s="16"/>
      <c r="Q43" s="16"/>
      <c r="R43" s="16"/>
      <c r="S43" s="16"/>
      <c r="T43" s="16"/>
      <c r="U43" s="16"/>
      <c r="V43" s="16"/>
      <c r="W43" s="16"/>
      <c r="X43" s="333"/>
      <c r="Y43" s="333"/>
      <c r="Z43" s="333"/>
      <c r="AA43" s="333"/>
      <c r="AB43" s="333"/>
      <c r="AC43" s="333"/>
      <c r="AD43" s="333"/>
      <c r="AE43" s="333"/>
      <c r="AF43" s="333"/>
      <c r="AG43" s="333"/>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row>
    <row r="44" spans="1:83" s="30" customFormat="1" ht="30" customHeight="1" x14ac:dyDescent="0.35">
      <c r="A44" s="18"/>
      <c r="B44" s="492"/>
      <c r="C44" s="333"/>
      <c r="D44" s="333"/>
      <c r="E44" s="333"/>
      <c r="F44" s="333"/>
      <c r="G44" s="333"/>
      <c r="H44" s="333"/>
      <c r="I44" s="333"/>
      <c r="J44" s="333"/>
      <c r="K44" s="333"/>
      <c r="L44" s="333"/>
      <c r="M44" s="333"/>
      <c r="N44" s="16"/>
      <c r="O44" s="16"/>
      <c r="P44" s="16"/>
      <c r="Q44" s="16"/>
      <c r="R44" s="16"/>
      <c r="S44" s="16"/>
      <c r="T44" s="16"/>
      <c r="U44" s="16"/>
      <c r="V44" s="16"/>
      <c r="W44" s="16"/>
      <c r="X44" s="333"/>
      <c r="Y44" s="333"/>
      <c r="Z44" s="333"/>
      <c r="AA44" s="333"/>
      <c r="AB44" s="333"/>
      <c r="AC44" s="333"/>
      <c r="AD44" s="333"/>
      <c r="AE44" s="333"/>
      <c r="AF44" s="333"/>
      <c r="AG44" s="333"/>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row>
    <row r="45" spans="1:83" s="30" customFormat="1" ht="30" customHeight="1" x14ac:dyDescent="0.35">
      <c r="A45" s="18"/>
      <c r="B45" s="492"/>
      <c r="C45" s="333"/>
      <c r="D45" s="333"/>
      <c r="E45" s="333"/>
      <c r="F45" s="333"/>
      <c r="G45" s="333"/>
      <c r="H45" s="333"/>
      <c r="I45" s="333"/>
      <c r="J45" s="333"/>
      <c r="K45" s="333"/>
      <c r="L45" s="333"/>
      <c r="M45" s="333"/>
      <c r="N45" s="16"/>
      <c r="O45" s="16"/>
      <c r="P45" s="16"/>
      <c r="Q45" s="16"/>
      <c r="R45" s="16"/>
      <c r="S45" s="16"/>
      <c r="T45" s="16"/>
      <c r="U45" s="16"/>
      <c r="V45" s="16"/>
      <c r="W45" s="16"/>
      <c r="X45" s="333"/>
      <c r="Y45" s="333"/>
      <c r="Z45" s="333"/>
      <c r="AA45" s="333"/>
      <c r="AB45" s="333"/>
      <c r="AC45" s="333"/>
      <c r="AD45" s="333"/>
      <c r="AE45" s="333"/>
      <c r="AF45" s="333"/>
      <c r="AG45" s="333"/>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row>
    <row r="46" spans="1:83" s="30" customFormat="1" ht="30" customHeight="1" x14ac:dyDescent="0.35">
      <c r="A46" s="18"/>
      <c r="B46" s="511"/>
      <c r="C46" s="236"/>
      <c r="D46" s="16"/>
      <c r="E46" s="39"/>
      <c r="F46" s="53"/>
      <c r="G46" s="47"/>
      <c r="H46" s="47"/>
      <c r="I46" s="18"/>
      <c r="J46" s="18"/>
      <c r="K46" s="18"/>
      <c r="L46" s="18"/>
      <c r="M46" s="18"/>
      <c r="N46" s="236"/>
      <c r="O46" s="16"/>
      <c r="P46" s="82"/>
      <c r="Q46" s="53"/>
      <c r="R46" s="16"/>
      <c r="S46" s="16"/>
      <c r="T46" s="47"/>
      <c r="U46" s="18"/>
      <c r="V46" s="16"/>
      <c r="W46" s="16"/>
      <c r="X46" s="18"/>
      <c r="Y46" s="18"/>
      <c r="Z46" s="18"/>
      <c r="AA46" s="18"/>
      <c r="AB46" s="18"/>
      <c r="AC46" s="18"/>
      <c r="AD46" s="18"/>
      <c r="AE46" s="18"/>
      <c r="AF46" s="18"/>
      <c r="AG46" s="18"/>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row>
    <row r="47" spans="1:83" s="30" customFormat="1" ht="30" customHeight="1" thickBot="1" x14ac:dyDescent="0.4">
      <c r="A47" s="18"/>
      <c r="B47" s="511"/>
      <c r="C47" s="48" t="s">
        <v>81</v>
      </c>
      <c r="D47" s="48"/>
      <c r="E47" s="180"/>
      <c r="F47" s="49"/>
      <c r="G47" s="434"/>
      <c r="H47" s="49"/>
      <c r="I47" s="49"/>
      <c r="J47" s="49"/>
      <c r="K47" s="332"/>
      <c r="L47" s="332"/>
      <c r="M47" s="332"/>
      <c r="N47" s="48" t="s">
        <v>82</v>
      </c>
      <c r="O47" s="48"/>
      <c r="P47" s="292"/>
      <c r="Q47" s="49"/>
      <c r="R47" s="27"/>
      <c r="S47" s="27"/>
      <c r="T47" s="47"/>
      <c r="U47" s="16"/>
      <c r="V47" s="18"/>
      <c r="W47" s="18"/>
      <c r="X47" s="332"/>
      <c r="Y47" s="332"/>
      <c r="Z47" s="332"/>
      <c r="AA47" s="332"/>
      <c r="AB47" s="332"/>
      <c r="AC47" s="332"/>
      <c r="AD47" s="332"/>
      <c r="AE47" s="332"/>
      <c r="AF47" s="332"/>
      <c r="AG47" s="332"/>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6"/>
      <c r="BS47" s="16"/>
      <c r="BT47" s="16"/>
      <c r="BU47" s="16"/>
      <c r="BV47" s="16"/>
      <c r="BW47" s="16"/>
      <c r="BX47" s="16"/>
      <c r="BY47" s="16"/>
      <c r="BZ47" s="16"/>
      <c r="CA47" s="16"/>
      <c r="CB47" s="16"/>
      <c r="CC47" s="16"/>
      <c r="CD47" s="16"/>
    </row>
    <row r="48" spans="1:83" s="30" customFormat="1" ht="35.25" customHeight="1" x14ac:dyDescent="0.35">
      <c r="A48" s="18"/>
      <c r="B48" s="512"/>
      <c r="C48" s="528" t="s">
        <v>68</v>
      </c>
      <c r="D48" s="551" t="s">
        <v>69</v>
      </c>
      <c r="E48" s="553" t="s">
        <v>15</v>
      </c>
      <c r="F48" s="555" t="s">
        <v>70</v>
      </c>
      <c r="G48" s="551" t="s">
        <v>83</v>
      </c>
      <c r="H48" s="551"/>
      <c r="I48" s="543" t="str">
        <f>_xlfn.CONCAT("Respirator Scenario: APF of ",$J$4)</f>
        <v>Respirator Scenario: APF of 25</v>
      </c>
      <c r="J48" s="544"/>
      <c r="K48" s="68"/>
      <c r="L48" s="68"/>
      <c r="M48" s="68"/>
      <c r="N48" s="530" t="s">
        <v>68</v>
      </c>
      <c r="O48" s="551" t="s">
        <v>84</v>
      </c>
      <c r="P48" s="553" t="s">
        <v>15</v>
      </c>
      <c r="Q48" s="555" t="s">
        <v>70</v>
      </c>
      <c r="R48" s="483" t="s">
        <v>83</v>
      </c>
      <c r="S48" s="543" t="s">
        <v>73</v>
      </c>
      <c r="T48" s="544"/>
      <c r="U48" s="16"/>
      <c r="V48" s="16"/>
      <c r="W48" s="16"/>
      <c r="X48" s="68"/>
      <c r="Y48" s="68"/>
      <c r="Z48" s="68"/>
      <c r="AA48" s="68"/>
      <c r="AB48" s="68"/>
      <c r="AC48" s="68"/>
      <c r="AD48" s="68"/>
      <c r="AE48" s="68"/>
      <c r="AF48" s="68"/>
      <c r="AG48" s="68"/>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row>
    <row r="49" spans="1:82" s="30" customFormat="1" ht="30" customHeight="1" thickBot="1" x14ac:dyDescent="0.4">
      <c r="A49" s="18"/>
      <c r="B49" s="512"/>
      <c r="C49" s="529"/>
      <c r="D49" s="552"/>
      <c r="E49" s="571"/>
      <c r="F49" s="570"/>
      <c r="G49" s="487" t="s">
        <v>74</v>
      </c>
      <c r="H49" s="487" t="s">
        <v>75</v>
      </c>
      <c r="I49" s="487" t="s">
        <v>74</v>
      </c>
      <c r="J49" s="294" t="s">
        <v>75</v>
      </c>
      <c r="K49" s="68"/>
      <c r="L49" s="68"/>
      <c r="M49" s="68"/>
      <c r="N49" s="529"/>
      <c r="O49" s="552"/>
      <c r="P49" s="554"/>
      <c r="Q49" s="556"/>
      <c r="R49" s="487" t="s">
        <v>76</v>
      </c>
      <c r="S49" s="293" t="str">
        <f>_xlfn.CONCAT("Worker MOE with Gloves: ",$K$4)</f>
        <v>Worker MOE with Gloves: 5</v>
      </c>
      <c r="T49" s="294" t="s">
        <v>77</v>
      </c>
      <c r="U49" s="16"/>
      <c r="V49" s="16"/>
      <c r="W49" s="16"/>
      <c r="X49" s="68"/>
      <c r="Y49" s="68"/>
      <c r="Z49" s="68"/>
      <c r="AA49" s="68"/>
      <c r="AB49" s="68"/>
      <c r="AC49" s="68"/>
      <c r="AD49" s="68"/>
      <c r="AE49" s="68"/>
      <c r="AF49" s="68"/>
      <c r="AG49" s="68"/>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row>
    <row r="50" spans="1:82" s="29" customFormat="1" ht="37.5" customHeight="1" x14ac:dyDescent="0.35">
      <c r="A50" s="18"/>
      <c r="B50" s="368" t="s">
        <v>85</v>
      </c>
      <c r="C50" s="527" t="s">
        <v>86</v>
      </c>
      <c r="D50" s="525">
        <f>VLOOKUP($B50, 'Hazard Values'!$G$6:$M$35, 3, FALSE)</f>
        <v>8.26</v>
      </c>
      <c r="E50" s="97" t="s">
        <v>32</v>
      </c>
      <c r="F50" s="490">
        <f>VLOOKUP($B50, 'Hazard Values'!$G$6:$M$34, 6,FALSE )</f>
        <v>100</v>
      </c>
      <c r="G50" s="432">
        <f>IFERROR(D50/$G$10, "")</f>
        <v>13.592238116259198</v>
      </c>
      <c r="H50" s="432">
        <f>IFERROR(D50/$G$11, "")</f>
        <v>394.31934604904632</v>
      </c>
      <c r="I50" s="432">
        <f t="shared" ref="I50:I77" si="4">IFERROR(G50*$J$4,"")</f>
        <v>339.80595290647994</v>
      </c>
      <c r="J50" s="65" t="s">
        <v>79</v>
      </c>
      <c r="K50" s="431"/>
      <c r="M50" s="68"/>
      <c r="N50" s="527" t="s">
        <v>86</v>
      </c>
      <c r="O50" s="508">
        <f>VLOOKUP($B50, 'Hazard Values'!$G$6:$M$35, 4, FALSE)</f>
        <v>9.6999999999999993</v>
      </c>
      <c r="P50" s="97" t="s">
        <v>32</v>
      </c>
      <c r="Q50" s="166">
        <f>VLOOKUP($B50, 'Hazard Values'!$G$6:$M$34, 6,FALSE )</f>
        <v>100</v>
      </c>
      <c r="R50" s="50">
        <f>IFERROR(O50/$R$10, "")</f>
        <v>4.010157802437603</v>
      </c>
      <c r="S50" s="50">
        <f>IFERROR(O50/$R$12, "")</f>
        <v>20.050789012188016</v>
      </c>
      <c r="T50" s="65" t="str">
        <f>IFERROR(O50/$R$14, "")</f>
        <v/>
      </c>
      <c r="U50" s="16"/>
      <c r="V50" s="16"/>
      <c r="W50" s="16"/>
      <c r="X50" s="333"/>
      <c r="Y50" s="333"/>
      <c r="Z50" s="333"/>
      <c r="AA50" s="333"/>
      <c r="AB50" s="333"/>
      <c r="AC50" s="333"/>
      <c r="AD50" s="333"/>
      <c r="AE50" s="333"/>
      <c r="AF50" s="333"/>
      <c r="AG50" s="333"/>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row>
    <row r="51" spans="1:82" s="29" customFormat="1" ht="40.5" customHeight="1" thickBot="1" x14ac:dyDescent="0.4">
      <c r="A51" s="18"/>
      <c r="B51" s="368" t="s">
        <v>85</v>
      </c>
      <c r="C51" s="507"/>
      <c r="D51" s="526"/>
      <c r="E51" s="96" t="s">
        <v>80</v>
      </c>
      <c r="F51" s="491">
        <f>VLOOKUP($B51, 'Hazard Values'!$G$6:$M$34, 6,FALSE )</f>
        <v>100</v>
      </c>
      <c r="G51" s="433">
        <f>IFERROR(D50/$G$12, "")</f>
        <v>1113.1938461538462</v>
      </c>
      <c r="H51" s="433">
        <f>IFERROR(D50/$G$13, "")</f>
        <v>1065.9281172996612</v>
      </c>
      <c r="I51" s="433">
        <f t="shared" si="4"/>
        <v>27829.846153846152</v>
      </c>
      <c r="J51" s="118" t="s">
        <v>79</v>
      </c>
      <c r="K51" s="431"/>
      <c r="M51" s="68"/>
      <c r="N51" s="507"/>
      <c r="O51" s="509"/>
      <c r="P51" s="96" t="s">
        <v>80</v>
      </c>
      <c r="Q51" s="167">
        <f>VLOOKUP($B51, 'Hazard Values'!$G$6:$M$34, 6,FALSE )</f>
        <v>100</v>
      </c>
      <c r="R51" s="51">
        <f>IFERROR(O50/$R$11,"")</f>
        <v>12.030473407312813</v>
      </c>
      <c r="S51" s="51">
        <f>IFERROR(O50/$R$13,"")</f>
        <v>60.152367036564058</v>
      </c>
      <c r="T51" s="118" t="str">
        <f>IFERROR(O50/$R$15,"")</f>
        <v/>
      </c>
      <c r="U51" s="16"/>
      <c r="V51" s="16"/>
      <c r="W51" s="16"/>
      <c r="X51" s="333"/>
      <c r="Y51" s="333"/>
      <c r="Z51" s="333"/>
      <c r="AA51" s="333"/>
      <c r="AB51" s="333"/>
      <c r="AC51" s="333"/>
      <c r="AD51" s="333"/>
      <c r="AE51" s="333"/>
      <c r="AF51" s="333"/>
      <c r="AG51" s="333"/>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row>
    <row r="52" spans="1:82" s="29" customFormat="1" ht="30" customHeight="1" x14ac:dyDescent="0.35">
      <c r="A52" s="18"/>
      <c r="B52" s="368" t="s">
        <v>87</v>
      </c>
      <c r="C52" s="507" t="s">
        <v>88</v>
      </c>
      <c r="D52" s="525">
        <f>VLOOKUP($B52, 'Hazard Values'!$G$6:$M$35, 3, FALSE)</f>
        <v>2.21</v>
      </c>
      <c r="E52" s="97" t="s">
        <v>32</v>
      </c>
      <c r="F52" s="490">
        <f>VLOOKUP($B52, 'Hazard Values'!$G$6:$M$34, 6,FALSE )</f>
        <v>100</v>
      </c>
      <c r="G52" s="432">
        <f>IFERROR(D52/$G$10, "")</f>
        <v>3.6366641933332717</v>
      </c>
      <c r="H52" s="432">
        <f>IFERROR(D52/$G$11, "")</f>
        <v>105.50190735694822</v>
      </c>
      <c r="I52" s="432">
        <f t="shared" si="4"/>
        <v>90.916604833331789</v>
      </c>
      <c r="J52" s="65" t="s">
        <v>79</v>
      </c>
      <c r="K52" s="431"/>
      <c r="L52" s="333"/>
      <c r="M52" s="333"/>
      <c r="N52" s="507" t="s">
        <v>88</v>
      </c>
      <c r="O52" s="508">
        <f>VLOOKUP($B52, 'Hazard Values'!$G$6:$M$35, 4, FALSE)</f>
        <v>6.2</v>
      </c>
      <c r="P52" s="97" t="s">
        <v>32</v>
      </c>
      <c r="Q52" s="166">
        <f>VLOOKUP($B52, 'Hazard Values'!$G$6:$M$34, 6,FALSE )</f>
        <v>100</v>
      </c>
      <c r="R52" s="64">
        <f>IFERROR(O52/$R$10, "")</f>
        <v>2.5631936469188803</v>
      </c>
      <c r="S52" s="64">
        <f>IFERROR(O52/$R$12, "")</f>
        <v>12.815968234594402</v>
      </c>
      <c r="T52" s="74" t="str">
        <f>IFERROR(O52/$R$14, "")</f>
        <v/>
      </c>
      <c r="U52" s="16"/>
      <c r="V52" s="16"/>
      <c r="W52" s="16"/>
      <c r="X52" s="333"/>
      <c r="Y52" s="333"/>
      <c r="Z52" s="333"/>
      <c r="AA52" s="333"/>
      <c r="AB52" s="333"/>
      <c r="AC52" s="333"/>
      <c r="AD52" s="333"/>
      <c r="AE52" s="333"/>
      <c r="AF52" s="333"/>
      <c r="AG52" s="333"/>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row>
    <row r="53" spans="1:82" s="29" customFormat="1" ht="30" customHeight="1" thickBot="1" x14ac:dyDescent="0.4">
      <c r="A53" s="18"/>
      <c r="B53" s="368" t="s">
        <v>87</v>
      </c>
      <c r="C53" s="507"/>
      <c r="D53" s="526"/>
      <c r="E53" s="96" t="s">
        <v>80</v>
      </c>
      <c r="F53" s="491">
        <f>VLOOKUP($B53, 'Hazard Values'!$G$6:$M$34, 6,FALSE )</f>
        <v>100</v>
      </c>
      <c r="G53" s="433">
        <f>IFERROR(D52/$G$12, "")</f>
        <v>297.84000000000003</v>
      </c>
      <c r="H53" s="433">
        <f>IFERROR(D52/$G$13, "")</f>
        <v>285.1938425220643</v>
      </c>
      <c r="I53" s="433">
        <f t="shared" si="4"/>
        <v>7446.0000000000009</v>
      </c>
      <c r="J53" s="118" t="s">
        <v>79</v>
      </c>
      <c r="K53" s="431"/>
      <c r="L53" s="333"/>
      <c r="M53" s="333"/>
      <c r="N53" s="507"/>
      <c r="O53" s="509"/>
      <c r="P53" s="96" t="s">
        <v>80</v>
      </c>
      <c r="Q53" s="167">
        <f>VLOOKUP($B53, 'Hazard Values'!$G$6:$M$34, 6,FALSE )</f>
        <v>100</v>
      </c>
      <c r="R53" s="160">
        <f>IFERROR(O52/$R$11,"")</f>
        <v>7.6895809407566436</v>
      </c>
      <c r="S53" s="160">
        <f>IFERROR(O52/$R$13,"")</f>
        <v>38.447904703783216</v>
      </c>
      <c r="T53" s="165" t="str">
        <f>IFERROR(O52/$R$15,"")</f>
        <v/>
      </c>
      <c r="U53" s="16"/>
      <c r="V53" s="16"/>
      <c r="W53" s="16"/>
      <c r="X53" s="333"/>
      <c r="Y53" s="333"/>
      <c r="Z53" s="333"/>
      <c r="AA53" s="333"/>
      <c r="AB53" s="333"/>
      <c r="AC53" s="333"/>
      <c r="AD53" s="333"/>
      <c r="AE53" s="333"/>
      <c r="AF53" s="333"/>
      <c r="AG53" s="333"/>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row>
    <row r="54" spans="1:82" s="29" customFormat="1" ht="30" customHeight="1" x14ac:dyDescent="0.35">
      <c r="B54" s="368" t="s">
        <v>89</v>
      </c>
      <c r="C54" s="507" t="s">
        <v>90</v>
      </c>
      <c r="D54" s="525">
        <f>VLOOKUP($B54, 'Hazard Values'!$G$6:$M$35, 3, FALSE)</f>
        <v>5.2</v>
      </c>
      <c r="E54" s="97" t="s">
        <v>32</v>
      </c>
      <c r="F54" s="490">
        <f>VLOOKUP($B54, 'Hazard Values'!$G$6:$M$34, 6,FALSE )</f>
        <v>100</v>
      </c>
      <c r="G54" s="432">
        <f>IFERROR(D54/$G$10, "")</f>
        <v>8.5568569254900524</v>
      </c>
      <c r="H54" s="432">
        <f>IFERROR(D54/$G$11, "")</f>
        <v>248.23978201634878</v>
      </c>
      <c r="I54" s="432">
        <f>IFERROR(G54*$J$4,"")</f>
        <v>213.92142313725131</v>
      </c>
      <c r="J54" s="65" t="s">
        <v>79</v>
      </c>
      <c r="K54" s="431"/>
      <c r="L54" s="333"/>
      <c r="M54" s="333"/>
      <c r="N54" s="507" t="s">
        <v>90</v>
      </c>
      <c r="O54" s="508">
        <f>VLOOKUP($B54, 'Hazard Values'!$G$6:$M$35, 4, FALSE)</f>
        <v>2.6</v>
      </c>
      <c r="P54" s="97" t="s">
        <v>32</v>
      </c>
      <c r="Q54" s="166">
        <f>VLOOKUP($B54, 'Hazard Values'!$G$6:$M$34, 6,FALSE )</f>
        <v>100</v>
      </c>
      <c r="R54" s="50">
        <f>IFERROR(O54/$R$10, "")</f>
        <v>1.0748876583853368</v>
      </c>
      <c r="S54" s="50">
        <f>IFERROR(O54/$R$12, "")</f>
        <v>5.3744382919266851</v>
      </c>
      <c r="T54" s="65" t="str">
        <f>IFERROR(O54/$R$14, "")</f>
        <v/>
      </c>
      <c r="U54" s="16"/>
      <c r="V54" s="16"/>
      <c r="W54" s="16"/>
      <c r="X54" s="333"/>
      <c r="Y54" s="333"/>
      <c r="Z54" s="333"/>
      <c r="AA54" s="333"/>
      <c r="AB54" s="333"/>
      <c r="AC54" s="333"/>
      <c r="AD54" s="333"/>
      <c r="AE54" s="333"/>
      <c r="AF54" s="333"/>
      <c r="AG54" s="333"/>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row>
    <row r="55" spans="1:82" s="18" customFormat="1" ht="30" customHeight="1" thickBot="1" x14ac:dyDescent="0.4">
      <c r="A55" s="29"/>
      <c r="B55" s="368" t="s">
        <v>89</v>
      </c>
      <c r="C55" s="507"/>
      <c r="D55" s="526"/>
      <c r="E55" s="96" t="s">
        <v>80</v>
      </c>
      <c r="F55" s="491">
        <f>VLOOKUP($B55, 'Hazard Values'!$G$6:$M$34, 6,FALSE )</f>
        <v>100</v>
      </c>
      <c r="G55" s="433">
        <f>IFERROR(D54/$G$12, "")</f>
        <v>700.80000000000007</v>
      </c>
      <c r="H55" s="433">
        <f>IFERROR(D54/$G$13, "")</f>
        <v>671.04433534603379</v>
      </c>
      <c r="I55" s="433">
        <f t="shared" si="4"/>
        <v>17520</v>
      </c>
      <c r="J55" s="118" t="s">
        <v>79</v>
      </c>
      <c r="K55" s="431"/>
      <c r="L55" s="333"/>
      <c r="M55" s="333"/>
      <c r="N55" s="507"/>
      <c r="O55" s="509"/>
      <c r="P55" s="96" t="s">
        <v>80</v>
      </c>
      <c r="Q55" s="167">
        <f>VLOOKUP($B55, 'Hazard Values'!$G$6:$M$34, 6,FALSE )</f>
        <v>100</v>
      </c>
      <c r="R55" s="51">
        <f>IFERROR(O54/$R$11,"")</f>
        <v>3.2246629751560119</v>
      </c>
      <c r="S55" s="51">
        <f>IFERROR(O54/$R$13,"")</f>
        <v>16.123314875780061</v>
      </c>
      <c r="T55" s="118" t="str">
        <f>IFERROR(O54/$R$15,"")</f>
        <v/>
      </c>
      <c r="U55" s="16"/>
      <c r="V55" s="16"/>
      <c r="W55" s="16"/>
      <c r="X55" s="333"/>
      <c r="Y55" s="333"/>
      <c r="Z55" s="333"/>
      <c r="AA55" s="333"/>
      <c r="AB55" s="333"/>
      <c r="AC55" s="333"/>
      <c r="AD55" s="333"/>
      <c r="AE55" s="333"/>
      <c r="AF55" s="333"/>
      <c r="AG55" s="333"/>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row>
    <row r="56" spans="1:82" s="18" customFormat="1" ht="30" customHeight="1" thickBot="1" x14ac:dyDescent="0.4">
      <c r="A56" s="29"/>
      <c r="B56" s="368" t="str">
        <f>IFERROR(IF(VLOOKUP(VLOOKUP($C$4&amp;$D$4,'List Values'!$N$2:$O$51,2,FALSE),'Inhalation Exposure'!$B$5:$Z$64,4,FALSE)="8-hr","Tox24",IF(VLOOKUP(VLOOKUP($C$4&amp;$D$4,'List Values'!$N$2:$O$51,2,FALSE),'Inhalation Exposure'!$B$5:$Z$64,4,FALSE)="12-hr","Tox25","N/A")),"Tox24")</f>
        <v>Tox24</v>
      </c>
      <c r="C56" s="507" t="s">
        <v>91</v>
      </c>
      <c r="D56" s="535">
        <f>VLOOKUP($B56, 'Hazard Values'!$G$6:$M$35, 3, FALSE)</f>
        <v>14.5</v>
      </c>
      <c r="E56" s="97" t="s">
        <v>32</v>
      </c>
      <c r="F56" s="490">
        <f>VLOOKUP($B56, 'Hazard Values'!$G$6:$M$34, 6,FALSE )</f>
        <v>100</v>
      </c>
      <c r="G56" s="432">
        <f>IFERROR(D56/$E$10, "")</f>
        <v>5.4475950746226607</v>
      </c>
      <c r="H56" s="432">
        <f>IFERROR(D56/$E$11, "")</f>
        <v>158.03814713896458</v>
      </c>
      <c r="I56" s="433">
        <f t="shared" si="4"/>
        <v>136.1898768655665</v>
      </c>
      <c r="J56" s="65" t="s">
        <v>79</v>
      </c>
      <c r="K56" s="431"/>
      <c r="L56" s="333"/>
      <c r="M56" s="333"/>
      <c r="N56" s="507" t="s">
        <v>92</v>
      </c>
      <c r="O56" s="508">
        <f>VLOOKUP($B58, 'Hazard Values'!$G$6:$M$35, 4, FALSE)</f>
        <v>5.4</v>
      </c>
      <c r="P56" s="97" t="s">
        <v>32</v>
      </c>
      <c r="Q56" s="166">
        <f>VLOOKUP($B58, 'Hazard Values'!$G$6:$M$34, 6,FALSE )</f>
        <v>100</v>
      </c>
      <c r="R56" s="64">
        <f>IFERROR(O56/$R$10, "")</f>
        <v>2.2324589828003152</v>
      </c>
      <c r="S56" s="64">
        <f>IFERROR(O56/$R$12, "")</f>
        <v>11.162294914001576</v>
      </c>
      <c r="T56" s="74" t="str">
        <f>IFERROR(O56/$R$14, "")</f>
        <v/>
      </c>
      <c r="U56" s="16"/>
      <c r="V56" s="16"/>
      <c r="W56" s="16"/>
      <c r="X56" s="333"/>
      <c r="Y56" s="333"/>
      <c r="Z56" s="333"/>
      <c r="AA56" s="333"/>
      <c r="AB56" s="333"/>
      <c r="AC56" s="333"/>
      <c r="AD56" s="333"/>
      <c r="AE56" s="333"/>
      <c r="AF56" s="333"/>
      <c r="AG56" s="333"/>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row>
    <row r="57" spans="1:82" s="29" customFormat="1" ht="30" customHeight="1" thickBot="1" x14ac:dyDescent="0.4">
      <c r="B57" s="368" t="str">
        <f>IFERROR(IF(VLOOKUP(VLOOKUP($C$4&amp;$D$4,'List Values'!$N$2:$O$51,2,FALSE),'Inhalation Exposure'!$B$5:$Z$64,4,FALSE)="8-hr","Tox24",IF(VLOOKUP(VLOOKUP($C$4&amp;$D$4,'List Values'!$N$2:$O$51,2,FALSE),'Inhalation Exposure'!$B$5:$Z$64,4,FALSE)="12-hr","Tox25","N/A")),"Tox24")</f>
        <v>Tox24</v>
      </c>
      <c r="C57" s="507"/>
      <c r="D57" s="536"/>
      <c r="E57" s="96" t="s">
        <v>80</v>
      </c>
      <c r="F57" s="491">
        <f>VLOOKUP($B57, 'Hazard Values'!$G$6:$M$34, 6,FALSE )</f>
        <v>100</v>
      </c>
      <c r="G57" s="433">
        <f>IFERROR(D56/$E$12, "")</f>
        <v>446.15384615384613</v>
      </c>
      <c r="H57" s="433">
        <f>IFERROR(D56/$E$13, "")</f>
        <v>427.21034696687246</v>
      </c>
      <c r="I57" s="433">
        <f t="shared" si="4"/>
        <v>11153.846153846152</v>
      </c>
      <c r="J57" s="118" t="s">
        <v>79</v>
      </c>
      <c r="K57" s="431"/>
      <c r="L57" s="333"/>
      <c r="M57" s="333"/>
      <c r="N57" s="507"/>
      <c r="O57" s="509"/>
      <c r="P57" s="96" t="s">
        <v>80</v>
      </c>
      <c r="Q57" s="167">
        <f>VLOOKUP($B59, 'Hazard Values'!$G$6:$M$34, 6,FALSE )</f>
        <v>100</v>
      </c>
      <c r="R57" s="160">
        <f>IFERROR(O56/$R$11,"")</f>
        <v>6.6973769484009482</v>
      </c>
      <c r="S57" s="160">
        <f>IFERROR(O56/$R$13,"")</f>
        <v>33.48688474200474</v>
      </c>
      <c r="T57" s="165" t="str">
        <f>IFERROR(O56/$R$15,"")</f>
        <v/>
      </c>
      <c r="U57" s="16"/>
      <c r="V57" s="16"/>
      <c r="W57" s="16"/>
      <c r="X57" s="333"/>
      <c r="Y57" s="333"/>
      <c r="Z57" s="333"/>
      <c r="AA57" s="333"/>
      <c r="AB57" s="333"/>
      <c r="AC57" s="333"/>
      <c r="AD57" s="333"/>
      <c r="AE57" s="333"/>
      <c r="AF57" s="333"/>
      <c r="AG57" s="333"/>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row>
    <row r="58" spans="1:82" s="29" customFormat="1" ht="30" customHeight="1" x14ac:dyDescent="0.35">
      <c r="A58" s="30"/>
      <c r="B58" s="368" t="s">
        <v>93</v>
      </c>
      <c r="C58" s="507" t="s">
        <v>92</v>
      </c>
      <c r="D58" s="525">
        <f>VLOOKUP($B58, 'Hazard Values'!$G$6:$M$35, 3, FALSE)</f>
        <v>5</v>
      </c>
      <c r="E58" s="97" t="s">
        <v>32</v>
      </c>
      <c r="F58" s="490">
        <f>VLOOKUP($B58, 'Hazard Values'!$G$6:$M$34, 6,FALSE )</f>
        <v>100</v>
      </c>
      <c r="G58" s="432">
        <f>IFERROR(D58/$G$10, "")</f>
        <v>8.2277470437404343</v>
      </c>
      <c r="H58" s="432">
        <f>IFERROR(D58/$G$11, "")</f>
        <v>238.69209809264305</v>
      </c>
      <c r="I58" s="432">
        <f t="shared" si="4"/>
        <v>205.69367609351085</v>
      </c>
      <c r="J58" s="65" t="s">
        <v>79</v>
      </c>
      <c r="K58" s="431"/>
      <c r="L58" s="333"/>
      <c r="M58" s="333"/>
      <c r="N58" s="507" t="s">
        <v>94</v>
      </c>
      <c r="O58" s="508">
        <f>VLOOKUP($B60, 'Hazard Values'!$G$6:$M$35, 4, FALSE)</f>
        <v>9.5</v>
      </c>
      <c r="P58" s="97" t="s">
        <v>32</v>
      </c>
      <c r="Q58" s="166">
        <f>VLOOKUP($B60, 'Hazard Values'!$G$6:$M$34, 6,FALSE )</f>
        <v>30</v>
      </c>
      <c r="R58" s="50">
        <f>IFERROR(O58/$R$10, "")</f>
        <v>3.9274741364079619</v>
      </c>
      <c r="S58" s="50">
        <f>IFERROR(O58/$R$12, "")</f>
        <v>19.637370682039808</v>
      </c>
      <c r="T58" s="65" t="str">
        <f>IFERROR(O58/$R$14, "")</f>
        <v/>
      </c>
      <c r="U58" s="16"/>
      <c r="V58" s="16"/>
      <c r="W58" s="16"/>
      <c r="X58" s="333"/>
      <c r="Y58" s="333"/>
      <c r="Z58" s="333"/>
      <c r="AA58" s="333"/>
      <c r="AB58" s="333"/>
      <c r="AC58" s="333"/>
      <c r="AD58" s="333"/>
      <c r="AE58" s="333"/>
      <c r="AF58" s="333"/>
      <c r="AG58" s="333"/>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row>
    <row r="59" spans="1:82" s="18" customFormat="1" ht="30" customHeight="1" thickBot="1" x14ac:dyDescent="0.4">
      <c r="A59" s="30"/>
      <c r="B59" s="368" t="s">
        <v>93</v>
      </c>
      <c r="C59" s="507"/>
      <c r="D59" s="526"/>
      <c r="E59" s="96" t="s">
        <v>80</v>
      </c>
      <c r="F59" s="491">
        <f>VLOOKUP($B59, 'Hazard Values'!$G$6:$M$34, 6,FALSE )</f>
        <v>100</v>
      </c>
      <c r="G59" s="433">
        <f>IFERROR(D58/$G$12, "")</f>
        <v>673.84615384615392</v>
      </c>
      <c r="H59" s="433">
        <f>IFERROR(D58/$G$13, "")</f>
        <v>645.23493783272477</v>
      </c>
      <c r="I59" s="433">
        <f t="shared" si="4"/>
        <v>16846.153846153848</v>
      </c>
      <c r="J59" s="118" t="s">
        <v>79</v>
      </c>
      <c r="K59" s="431"/>
      <c r="L59" s="333"/>
      <c r="M59" s="333"/>
      <c r="N59" s="507"/>
      <c r="O59" s="509"/>
      <c r="P59" s="96" t="s">
        <v>80</v>
      </c>
      <c r="Q59" s="167">
        <f>VLOOKUP($B61, 'Hazard Values'!$G$6:$M$34, 6,FALSE )</f>
        <v>30</v>
      </c>
      <c r="R59" s="51">
        <f>IFERROR(O58/$R$11,"")</f>
        <v>11.782422409223889</v>
      </c>
      <c r="S59" s="51">
        <f>IFERROR(O58/$R$13,"")</f>
        <v>58.912112046119447</v>
      </c>
      <c r="T59" s="118" t="str">
        <f>IFERROR(O58/$R$15,"")</f>
        <v/>
      </c>
      <c r="U59" s="16"/>
      <c r="V59" s="16"/>
      <c r="W59" s="16"/>
      <c r="X59" s="333"/>
      <c r="Y59" s="333"/>
      <c r="Z59" s="333"/>
      <c r="AA59" s="333"/>
      <c r="AB59" s="333"/>
      <c r="AC59" s="333"/>
      <c r="AD59" s="333"/>
      <c r="AE59" s="333"/>
      <c r="AF59" s="333"/>
      <c r="AG59" s="333"/>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row>
    <row r="60" spans="1:82" s="18" customFormat="1" ht="30" customHeight="1" x14ac:dyDescent="0.35">
      <c r="A60" s="30"/>
      <c r="B60" s="368" t="s">
        <v>95</v>
      </c>
      <c r="C60" s="507" t="s">
        <v>94</v>
      </c>
      <c r="D60" s="525">
        <f>VLOOKUP($B60, 'Hazard Values'!$G$6:$M$35, 3, FALSE)</f>
        <v>9</v>
      </c>
      <c r="E60" s="97" t="s">
        <v>32</v>
      </c>
      <c r="F60" s="490">
        <f>VLOOKUP($B60, 'Hazard Values'!$G$6:$M$34, 6,FALSE )</f>
        <v>30</v>
      </c>
      <c r="G60" s="432">
        <f>IFERROR(D60/$G$10, "")</f>
        <v>14.809944678732782</v>
      </c>
      <c r="H60" s="432">
        <f>IFERROR(D60/$G$11, "")</f>
        <v>429.64577656675749</v>
      </c>
      <c r="I60" s="432">
        <f t="shared" si="4"/>
        <v>370.24861696831954</v>
      </c>
      <c r="J60" s="65" t="s">
        <v>79</v>
      </c>
      <c r="K60" s="431"/>
      <c r="L60" s="333"/>
      <c r="M60" s="333"/>
      <c r="N60" s="507" t="s">
        <v>96</v>
      </c>
      <c r="O60" s="508">
        <f>VLOOKUP($B62, 'Hazard Values'!$G$6:$M$35, 4, FALSE)</f>
        <v>2.2000000000000002</v>
      </c>
      <c r="P60" s="97" t="s">
        <v>32</v>
      </c>
      <c r="Q60" s="166">
        <f>VLOOKUP($B62, 'Hazard Values'!$G$6:$M$34, 6,FALSE )</f>
        <v>30</v>
      </c>
      <c r="R60" s="64">
        <f>IFERROR(O60/$R$10, "")</f>
        <v>0.9095203263260544</v>
      </c>
      <c r="S60" s="64">
        <f>IFERROR(O60/$R$12, "")</f>
        <v>4.5476016316302719</v>
      </c>
      <c r="T60" s="74" t="str">
        <f>IFERROR(O60/$R$14, "")</f>
        <v/>
      </c>
      <c r="U60" s="16"/>
      <c r="V60" s="16"/>
      <c r="W60" s="16"/>
      <c r="X60" s="333"/>
      <c r="Y60" s="333"/>
      <c r="Z60" s="333"/>
      <c r="AA60" s="333"/>
      <c r="AB60" s="333"/>
      <c r="AC60" s="333"/>
      <c r="AD60" s="333"/>
      <c r="AE60" s="333"/>
      <c r="AF60" s="333"/>
      <c r="AG60" s="333"/>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row>
    <row r="61" spans="1:82" ht="30" customHeight="1" thickBot="1" x14ac:dyDescent="0.4">
      <c r="A61" s="30"/>
      <c r="B61" s="368" t="s">
        <v>95</v>
      </c>
      <c r="C61" s="507"/>
      <c r="D61" s="526"/>
      <c r="E61" s="96" t="s">
        <v>80</v>
      </c>
      <c r="F61" s="491">
        <f>VLOOKUP($B61, 'Hazard Values'!$G$6:$M$34, 6,FALSE )</f>
        <v>30</v>
      </c>
      <c r="G61" s="433">
        <f>IFERROR(D60/$G$12, "")</f>
        <v>1212.9230769230769</v>
      </c>
      <c r="H61" s="433">
        <f>IFERROR(D60/$G$13, "")</f>
        <v>1161.4228880989044</v>
      </c>
      <c r="I61" s="433">
        <f t="shared" si="4"/>
        <v>30323.076923076922</v>
      </c>
      <c r="J61" s="118" t="s">
        <v>79</v>
      </c>
      <c r="K61" s="431"/>
      <c r="L61" s="333"/>
      <c r="M61" s="333"/>
      <c r="N61" s="507"/>
      <c r="O61" s="509"/>
      <c r="P61" s="96" t="s">
        <v>80</v>
      </c>
      <c r="Q61" s="167">
        <f>VLOOKUP($B63, 'Hazard Values'!$G$6:$M$34, 6,FALSE )</f>
        <v>30</v>
      </c>
      <c r="R61" s="160">
        <f>IFERROR(O60/$R$11,"")</f>
        <v>2.7285609789781642</v>
      </c>
      <c r="S61" s="160">
        <f>IFERROR(O60/$R$13,"")</f>
        <v>13.642804894890821</v>
      </c>
      <c r="T61" s="165" t="str">
        <f>IFERROR(O60/$R$15,"")</f>
        <v/>
      </c>
      <c r="X61" s="333"/>
      <c r="Y61" s="333"/>
      <c r="Z61" s="333"/>
      <c r="AA61" s="333"/>
      <c r="AB61" s="333"/>
      <c r="AC61" s="333"/>
      <c r="AD61" s="333"/>
      <c r="AE61" s="333"/>
      <c r="AF61" s="333"/>
      <c r="AG61" s="333"/>
      <c r="AI61" s="16"/>
      <c r="AJ61" s="16"/>
      <c r="AK61" s="16"/>
      <c r="AL61" s="16"/>
      <c r="AM61" s="16"/>
      <c r="AN61" s="16"/>
      <c r="AO61" s="16"/>
    </row>
    <row r="62" spans="1:82" ht="30" customHeight="1" x14ac:dyDescent="0.35">
      <c r="A62" s="30"/>
      <c r="B62" s="368" t="s">
        <v>97</v>
      </c>
      <c r="C62" s="507" t="s">
        <v>96</v>
      </c>
      <c r="D62" s="525">
        <f>VLOOKUP($B62, 'Hazard Values'!$G$6:$M$35, 3, FALSE)</f>
        <v>2.1</v>
      </c>
      <c r="E62" s="97" t="s">
        <v>32</v>
      </c>
      <c r="F62" s="490">
        <f>VLOOKUP($B62, 'Hazard Values'!$G$6:$M$34, 6,FALSE )</f>
        <v>30</v>
      </c>
      <c r="G62" s="432">
        <f>IFERROR(D62/$G$10, "")</f>
        <v>3.4556537583709823</v>
      </c>
      <c r="H62" s="432">
        <f>IFERROR(D62/$G$11, "")</f>
        <v>100.25068119891009</v>
      </c>
      <c r="I62" s="432">
        <f t="shared" si="4"/>
        <v>86.391343959274565</v>
      </c>
      <c r="J62" s="65" t="s">
        <v>79</v>
      </c>
      <c r="K62" s="431"/>
      <c r="L62" s="333"/>
      <c r="M62" s="333"/>
      <c r="N62" s="507" t="s">
        <v>98</v>
      </c>
      <c r="O62" s="508">
        <f>VLOOKUP($B64, 'Hazard Values'!$G$6:$M$35, 4, FALSE)</f>
        <v>24.5</v>
      </c>
      <c r="P62" s="97" t="s">
        <v>32</v>
      </c>
      <c r="Q62" s="166">
        <f>VLOOKUP($B64, 'Hazard Values'!$G$6:$M$34, 6,FALSE )</f>
        <v>30</v>
      </c>
      <c r="R62" s="50">
        <f>IFERROR(O62/$R$10, "")</f>
        <v>10.128749088631059</v>
      </c>
      <c r="S62" s="50">
        <f>IFERROR(O62/$R$12, "")</f>
        <v>50.643745443155296</v>
      </c>
      <c r="T62" s="65" t="str">
        <f>IFERROR(O62/$R$14, "")</f>
        <v/>
      </c>
      <c r="X62" s="333"/>
      <c r="Y62" s="333"/>
      <c r="Z62" s="333"/>
      <c r="AA62" s="333"/>
      <c r="AB62" s="333"/>
      <c r="AC62" s="333"/>
      <c r="AD62" s="333"/>
      <c r="AE62" s="333"/>
      <c r="AF62" s="333"/>
      <c r="AG62" s="333"/>
      <c r="AI62" s="16"/>
      <c r="AJ62" s="16"/>
      <c r="AK62" s="16"/>
      <c r="AL62" s="16"/>
      <c r="AM62" s="16"/>
      <c r="AN62" s="16"/>
      <c r="AO62" s="16"/>
    </row>
    <row r="63" spans="1:82" ht="30" customHeight="1" thickBot="1" x14ac:dyDescent="0.4">
      <c r="A63" s="30"/>
      <c r="B63" s="368" t="s">
        <v>97</v>
      </c>
      <c r="C63" s="507"/>
      <c r="D63" s="526"/>
      <c r="E63" s="96" t="s">
        <v>80</v>
      </c>
      <c r="F63" s="491">
        <f>VLOOKUP($B63, 'Hazard Values'!$G$6:$M$34, 6,FALSE )</f>
        <v>30</v>
      </c>
      <c r="G63" s="433">
        <f>IFERROR(D62/$G$12, "")</f>
        <v>283.01538461538462</v>
      </c>
      <c r="H63" s="433">
        <f>IFERROR(D62/$G$13, "")</f>
        <v>270.9986738897444</v>
      </c>
      <c r="I63" s="433">
        <f t="shared" si="4"/>
        <v>7075.3846153846152</v>
      </c>
      <c r="J63" s="118" t="s">
        <v>79</v>
      </c>
      <c r="K63" s="431"/>
      <c r="L63" s="333"/>
      <c r="M63" s="333"/>
      <c r="N63" s="507"/>
      <c r="O63" s="509"/>
      <c r="P63" s="96" t="s">
        <v>80</v>
      </c>
      <c r="Q63" s="167">
        <f>VLOOKUP($B65, 'Hazard Values'!$G$6:$M$34, 6,FALSE )</f>
        <v>30</v>
      </c>
      <c r="R63" s="51">
        <f>IFERROR(O62/$R$11,"")</f>
        <v>30.386247265893189</v>
      </c>
      <c r="S63" s="51">
        <f>IFERROR(O62/$R$13,"")</f>
        <v>151.93123632946595</v>
      </c>
      <c r="T63" s="118" t="str">
        <f>IFERROR(O62/$R$15,"")</f>
        <v/>
      </c>
      <c r="X63" s="333"/>
      <c r="Y63" s="333"/>
      <c r="Z63" s="333"/>
      <c r="AA63" s="333"/>
      <c r="AB63" s="333"/>
      <c r="AC63" s="333"/>
      <c r="AD63" s="333"/>
      <c r="AE63" s="333"/>
      <c r="AF63" s="333"/>
      <c r="AG63" s="333"/>
      <c r="AI63" s="16"/>
      <c r="AJ63" s="16"/>
      <c r="AK63" s="16"/>
      <c r="AL63" s="16"/>
      <c r="AM63" s="16"/>
      <c r="AN63" s="16"/>
      <c r="AO63" s="16"/>
    </row>
    <row r="64" spans="1:82" ht="30" customHeight="1" x14ac:dyDescent="0.35">
      <c r="A64" s="30"/>
      <c r="B64" s="368" t="s">
        <v>99</v>
      </c>
      <c r="C64" s="507" t="s">
        <v>98</v>
      </c>
      <c r="D64" s="525">
        <f>VLOOKUP($B64, 'Hazard Values'!$G$6:$M$35, 3, FALSE)</f>
        <v>31</v>
      </c>
      <c r="E64" s="97" t="s">
        <v>32</v>
      </c>
      <c r="F64" s="490">
        <f>VLOOKUP($B64, 'Hazard Values'!$G$6:$M$34, 6,FALSE )</f>
        <v>30</v>
      </c>
      <c r="G64" s="432">
        <f>IFERROR(D64/$G$10, "")</f>
        <v>51.012031671190691</v>
      </c>
      <c r="H64" s="432">
        <f>IFERROR(D64/$G$11, "")</f>
        <v>1479.891008174387</v>
      </c>
      <c r="I64" s="432">
        <f t="shared" si="4"/>
        <v>1275.3007917797672</v>
      </c>
      <c r="J64" s="65" t="s">
        <v>79</v>
      </c>
      <c r="K64" s="431"/>
      <c r="L64" s="333"/>
      <c r="M64" s="333"/>
      <c r="N64" s="507" t="s">
        <v>100</v>
      </c>
      <c r="O64" s="508">
        <f>VLOOKUP($B66, 'Hazard Values'!$G$6:$M$35, 4, FALSE)</f>
        <v>252</v>
      </c>
      <c r="P64" s="97" t="s">
        <v>32</v>
      </c>
      <c r="Q64" s="166">
        <f>VLOOKUP($B66, 'Hazard Values'!$G$6:$M$34, 6,FALSE )</f>
        <v>300</v>
      </c>
      <c r="R64" s="64">
        <f>IFERROR(O64/$R$10, "")</f>
        <v>104.18141919734803</v>
      </c>
      <c r="S64" s="64">
        <f>IFERROR(O64/$R$12, "")</f>
        <v>520.90709598674016</v>
      </c>
      <c r="T64" s="74" t="str">
        <f>IFERROR(O64/$R$14, "")</f>
        <v/>
      </c>
      <c r="X64" s="333"/>
      <c r="Y64" s="333"/>
      <c r="Z64" s="333"/>
      <c r="AA64" s="333"/>
      <c r="AB64" s="333"/>
      <c r="AC64" s="333"/>
      <c r="AD64" s="333"/>
      <c r="AE64" s="333"/>
      <c r="AF64" s="333"/>
      <c r="AG64" s="333"/>
      <c r="AI64" s="16"/>
      <c r="AJ64" s="16"/>
      <c r="AK64" s="16"/>
      <c r="AL64" s="16"/>
      <c r="AM64" s="16"/>
      <c r="AN64" s="16"/>
      <c r="AO64" s="16"/>
    </row>
    <row r="65" spans="1:41" ht="30" customHeight="1" thickBot="1" x14ac:dyDescent="0.4">
      <c r="A65" s="30"/>
      <c r="B65" s="368" t="s">
        <v>99</v>
      </c>
      <c r="C65" s="507"/>
      <c r="D65" s="526"/>
      <c r="E65" s="96" t="s">
        <v>80</v>
      </c>
      <c r="F65" s="491">
        <f>VLOOKUP($B65, 'Hazard Values'!$G$6:$M$34, 6,FALSE )</f>
        <v>30</v>
      </c>
      <c r="G65" s="433">
        <f>IFERROR(D64/$G$12, "")</f>
        <v>4177.8461538461543</v>
      </c>
      <c r="H65" s="433">
        <f>IFERROR(D64/$G$13, "")</f>
        <v>4000.4566145628933</v>
      </c>
      <c r="I65" s="433">
        <f t="shared" si="4"/>
        <v>104446.15384615386</v>
      </c>
      <c r="J65" s="118" t="s">
        <v>79</v>
      </c>
      <c r="K65" s="431"/>
      <c r="L65" s="333"/>
      <c r="M65" s="333"/>
      <c r="N65" s="507"/>
      <c r="O65" s="509"/>
      <c r="P65" s="96" t="s">
        <v>80</v>
      </c>
      <c r="Q65" s="167">
        <f>VLOOKUP($B67, 'Hazard Values'!$G$6:$M$34, 6,FALSE )</f>
        <v>300</v>
      </c>
      <c r="R65" s="160">
        <f>IFERROR(O64/$R$11,"")</f>
        <v>312.54425759204423</v>
      </c>
      <c r="S65" s="160">
        <f>IFERROR(O64/$R$13,"")</f>
        <v>1562.7212879602212</v>
      </c>
      <c r="T65" s="165" t="str">
        <f>IFERROR(O64/$R$15,"")</f>
        <v/>
      </c>
      <c r="X65" s="333"/>
      <c r="Y65" s="333"/>
      <c r="Z65" s="333"/>
      <c r="AA65" s="333"/>
      <c r="AB65" s="333"/>
      <c r="AC65" s="333"/>
      <c r="AD65" s="333"/>
      <c r="AE65" s="333"/>
      <c r="AF65" s="333"/>
      <c r="AG65" s="333"/>
      <c r="AI65" s="16"/>
      <c r="AJ65" s="16"/>
      <c r="AK65" s="16"/>
      <c r="AL65" s="16"/>
      <c r="AM65" s="16"/>
      <c r="AN65" s="16"/>
      <c r="AO65" s="16"/>
    </row>
    <row r="66" spans="1:41" ht="30" customHeight="1" x14ac:dyDescent="0.35">
      <c r="A66" s="30"/>
      <c r="B66" s="368" t="s">
        <v>101</v>
      </c>
      <c r="C66" s="507" t="s">
        <v>100</v>
      </c>
      <c r="D66" s="525">
        <f>VLOOKUP($B66, 'Hazard Values'!$G$6:$M$35, 3, FALSE)</f>
        <v>310</v>
      </c>
      <c r="E66" s="97" t="s">
        <v>32</v>
      </c>
      <c r="F66" s="490">
        <f>VLOOKUP($B66, 'Hazard Values'!$G$6:$M$34, 6,FALSE )</f>
        <v>300</v>
      </c>
      <c r="G66" s="432">
        <f>IFERROR(D66/$G$10, "")</f>
        <v>510.12031671190692</v>
      </c>
      <c r="H66" s="432">
        <f>IFERROR(D66/$G$11, "")</f>
        <v>14798.91008174387</v>
      </c>
      <c r="I66" s="432">
        <f t="shared" si="4"/>
        <v>12753.007917797673</v>
      </c>
      <c r="J66" s="65" t="s">
        <v>79</v>
      </c>
      <c r="K66" s="431"/>
      <c r="L66" s="333"/>
      <c r="M66" s="333"/>
      <c r="N66" s="507" t="s">
        <v>102</v>
      </c>
      <c r="O66" s="508">
        <f>VLOOKUP($B68, 'Hazard Values'!$G$6:$M$35, 4, FALSE)</f>
        <v>32</v>
      </c>
      <c r="P66" s="97" t="s">
        <v>32</v>
      </c>
      <c r="Q66" s="166">
        <f>VLOOKUP($B68, 'Hazard Values'!$G$6:$M$34, 6,FALSE )</f>
        <v>300</v>
      </c>
      <c r="R66" s="50">
        <f>IFERROR(O66/$R$10, "")</f>
        <v>13.229386564742608</v>
      </c>
      <c r="S66" s="50">
        <f>IFERROR(O66/$R$12, "")</f>
        <v>66.146932823713044</v>
      </c>
      <c r="T66" s="65" t="str">
        <f>IFERROR(O66/$R$14, "")</f>
        <v/>
      </c>
      <c r="X66" s="333"/>
      <c r="Y66" s="333"/>
      <c r="Z66" s="333"/>
      <c r="AA66" s="333"/>
      <c r="AB66" s="333"/>
      <c r="AC66" s="333"/>
      <c r="AD66" s="333"/>
      <c r="AE66" s="333"/>
      <c r="AF66" s="333"/>
      <c r="AG66" s="333"/>
      <c r="AI66" s="16"/>
      <c r="AJ66" s="16"/>
      <c r="AK66" s="16"/>
      <c r="AL66" s="16"/>
      <c r="AM66" s="16"/>
      <c r="AN66" s="16"/>
      <c r="AO66" s="16"/>
    </row>
    <row r="67" spans="1:41" ht="30" customHeight="1" thickBot="1" x14ac:dyDescent="0.4">
      <c r="A67" s="30"/>
      <c r="B67" s="368" t="s">
        <v>101</v>
      </c>
      <c r="C67" s="507"/>
      <c r="D67" s="526"/>
      <c r="E67" s="96" t="s">
        <v>80</v>
      </c>
      <c r="F67" s="491">
        <f>VLOOKUP($B67, 'Hazard Values'!$G$6:$M$34, 6,FALSE )</f>
        <v>300</v>
      </c>
      <c r="G67" s="433">
        <f>IFERROR(D66/$G$12, "")</f>
        <v>41778.461538461539</v>
      </c>
      <c r="H67" s="433">
        <f>IFERROR(D66/$G$13, "")</f>
        <v>40004.566145628931</v>
      </c>
      <c r="I67" s="433">
        <f t="shared" si="4"/>
        <v>1044461.5384615385</v>
      </c>
      <c r="J67" s="118" t="s">
        <v>79</v>
      </c>
      <c r="K67" s="431"/>
      <c r="L67" s="333"/>
      <c r="M67" s="333"/>
      <c r="N67" s="507"/>
      <c r="O67" s="509"/>
      <c r="P67" s="96" t="s">
        <v>80</v>
      </c>
      <c r="Q67" s="167">
        <f>VLOOKUP($B69, 'Hazard Values'!$G$6:$M$34, 6,FALSE )</f>
        <v>300</v>
      </c>
      <c r="R67" s="51">
        <f>IFERROR(O66/$R$11,"")</f>
        <v>39.688159694227835</v>
      </c>
      <c r="S67" s="51">
        <f>IFERROR(O66/$R$13,"")</f>
        <v>198.44079847113917</v>
      </c>
      <c r="T67" s="118" t="str">
        <f>IFERROR(O66/$R$15,"")</f>
        <v/>
      </c>
      <c r="X67" s="333"/>
      <c r="Y67" s="333"/>
      <c r="Z67" s="333"/>
      <c r="AA67" s="333"/>
      <c r="AB67" s="333"/>
      <c r="AC67" s="333"/>
      <c r="AD67" s="333"/>
      <c r="AE67" s="333"/>
      <c r="AF67" s="333"/>
      <c r="AG67" s="333"/>
      <c r="AI67" s="16"/>
      <c r="AJ67" s="16"/>
      <c r="AK67" s="16"/>
      <c r="AL67" s="16"/>
      <c r="AM67" s="16"/>
      <c r="AN67" s="16"/>
      <c r="AO67" s="16"/>
    </row>
    <row r="68" spans="1:41" ht="30" customHeight="1" x14ac:dyDescent="0.35">
      <c r="A68" s="30"/>
      <c r="B68" s="368" t="s">
        <v>103</v>
      </c>
      <c r="C68" s="507" t="s">
        <v>102</v>
      </c>
      <c r="D68" s="525">
        <f>VLOOKUP($B68, 'Hazard Values'!$G$6:$M$35, 3, FALSE)</f>
        <v>40</v>
      </c>
      <c r="E68" s="97" t="s">
        <v>32</v>
      </c>
      <c r="F68" s="490">
        <f>VLOOKUP($B68, 'Hazard Values'!$G$6:$M$34, 6,FALSE )</f>
        <v>300</v>
      </c>
      <c r="G68" s="432">
        <f>IFERROR(D68/$G$10, "")</f>
        <v>65.821976349923474</v>
      </c>
      <c r="H68" s="432">
        <f>IFERROR(D68/$G$11, "")</f>
        <v>1909.5367847411444</v>
      </c>
      <c r="I68" s="432">
        <f t="shared" si="4"/>
        <v>1645.5494087480868</v>
      </c>
      <c r="J68" s="65" t="s">
        <v>79</v>
      </c>
      <c r="K68" s="431"/>
      <c r="L68" s="333"/>
      <c r="M68" s="333"/>
      <c r="N68" s="537" t="s">
        <v>104</v>
      </c>
      <c r="O68" s="508">
        <f>VLOOKUP($B70, 'Hazard Values'!$G$6:$M$35, 4, FALSE)</f>
        <v>6.8</v>
      </c>
      <c r="P68" s="97" t="s">
        <v>32</v>
      </c>
      <c r="Q68" s="166">
        <f>VLOOKUP($B70, 'Hazard Values'!$G$6:$M$34, 6,FALSE )</f>
        <v>100</v>
      </c>
      <c r="R68" s="339">
        <f>IFERROR(O68/$R$10, "")</f>
        <v>2.8112446450078039</v>
      </c>
      <c r="S68" s="50">
        <f>IFERROR(O68/$R$12, "")</f>
        <v>14.056223225039021</v>
      </c>
      <c r="T68" s="65" t="str">
        <f>IFERROR(O68/$R$14, "")</f>
        <v/>
      </c>
      <c r="X68" s="333"/>
      <c r="Y68" s="333"/>
      <c r="Z68" s="333"/>
      <c r="AA68" s="333"/>
      <c r="AB68" s="333"/>
      <c r="AC68" s="333"/>
      <c r="AD68" s="333"/>
      <c r="AE68" s="333"/>
      <c r="AF68" s="333"/>
      <c r="AG68" s="333"/>
      <c r="AI68" s="16"/>
      <c r="AJ68" s="16"/>
      <c r="AK68" s="16"/>
      <c r="AL68" s="16"/>
      <c r="AM68" s="16"/>
      <c r="AN68" s="16"/>
      <c r="AO68" s="16"/>
    </row>
    <row r="69" spans="1:41" ht="33.75" customHeight="1" thickBot="1" x14ac:dyDescent="0.4">
      <c r="A69" s="30"/>
      <c r="B69" s="368" t="s">
        <v>103</v>
      </c>
      <c r="C69" s="507"/>
      <c r="D69" s="526"/>
      <c r="E69" s="96" t="s">
        <v>80</v>
      </c>
      <c r="F69" s="491">
        <f>VLOOKUP($B69, 'Hazard Values'!$G$6:$M$34, 6,FALSE )</f>
        <v>300</v>
      </c>
      <c r="G69" s="433">
        <f>IFERROR(D68/$G$12, "")</f>
        <v>5390.7692307692314</v>
      </c>
      <c r="H69" s="433">
        <f>IFERROR(D68/$G$13, "")</f>
        <v>5161.8795026617981</v>
      </c>
      <c r="I69" s="433">
        <f t="shared" si="4"/>
        <v>134769.23076923078</v>
      </c>
      <c r="J69" s="118" t="s">
        <v>79</v>
      </c>
      <c r="K69" s="431"/>
      <c r="L69" s="333"/>
      <c r="M69" s="333"/>
      <c r="N69" s="538"/>
      <c r="O69" s="509"/>
      <c r="P69" s="96" t="s">
        <v>80</v>
      </c>
      <c r="Q69" s="167">
        <f>VLOOKUP($B71, 'Hazard Values'!$G$6:$M$34, 6,FALSE )</f>
        <v>100</v>
      </c>
      <c r="R69" s="51">
        <f>IFERROR(O68/$R$11,"")</f>
        <v>8.4337339350234153</v>
      </c>
      <c r="S69" s="51">
        <f>IFERROR(O68/$R$13,"")</f>
        <v>42.168669675117073</v>
      </c>
      <c r="T69" s="118" t="str">
        <f>IFERROR(O68/$R$15,"")</f>
        <v/>
      </c>
      <c r="X69" s="333"/>
      <c r="Y69" s="333"/>
      <c r="Z69" s="333"/>
      <c r="AA69" s="333"/>
      <c r="AB69" s="333"/>
      <c r="AC69" s="333"/>
      <c r="AD69" s="333"/>
      <c r="AE69" s="333"/>
      <c r="AF69" s="333"/>
      <c r="AG69" s="333"/>
      <c r="AI69" s="16"/>
      <c r="AJ69" s="16"/>
      <c r="AK69" s="16"/>
      <c r="AL69" s="16"/>
      <c r="AM69" s="16"/>
      <c r="AN69" s="16"/>
      <c r="AO69" s="16"/>
    </row>
    <row r="70" spans="1:41" ht="41.25" customHeight="1" x14ac:dyDescent="0.35">
      <c r="A70" s="30"/>
      <c r="B70" s="368" t="s">
        <v>105</v>
      </c>
      <c r="C70" s="537" t="s">
        <v>104</v>
      </c>
      <c r="D70" s="539">
        <f>VLOOKUP($B70, 'Hazard Values'!$G$6:$M$35, 3, FALSE)</f>
        <v>6.4</v>
      </c>
      <c r="E70" s="97" t="s">
        <v>32</v>
      </c>
      <c r="F70" s="490">
        <f>VLOOKUP($B70, 'Hazard Values'!$G$6:$M$34, 6,FALSE )</f>
        <v>100</v>
      </c>
      <c r="G70" s="432">
        <f>IFERROR(D70/$G$10, "")</f>
        <v>10.531516215987756</v>
      </c>
      <c r="H70" s="432">
        <f>IFERROR(D70/$G$11, "")</f>
        <v>305.52588555858313</v>
      </c>
      <c r="I70" s="432">
        <f t="shared" ref="I70:I71" si="5">IFERROR(G70*$J$4,"")</f>
        <v>263.2879053996939</v>
      </c>
      <c r="J70" s="65" t="s">
        <v>79</v>
      </c>
      <c r="K70" s="431"/>
      <c r="L70" s="333"/>
      <c r="M70" s="333"/>
      <c r="N70" s="507" t="s">
        <v>106</v>
      </c>
      <c r="O70" s="508">
        <f>VLOOKUP($B72, 'Hazard Values'!$G$6:$M$35, 4, FALSE)</f>
        <v>22</v>
      </c>
      <c r="P70" s="97" t="s">
        <v>32</v>
      </c>
      <c r="Q70" s="166">
        <f>VLOOKUP($B72, 'Hazard Values'!$G$6:$M$34, 6,FALSE )</f>
        <v>30</v>
      </c>
      <c r="R70" s="339">
        <f>IFERROR(O70/$R$10, "")</f>
        <v>9.0952032632605437</v>
      </c>
      <c r="S70" s="50">
        <f>IFERROR(O70/$R$12, "")</f>
        <v>45.476016316302719</v>
      </c>
      <c r="T70" s="65" t="str">
        <f>IFERROR(O70/$R$14, "")</f>
        <v/>
      </c>
      <c r="X70" s="333"/>
      <c r="Y70" s="333"/>
      <c r="Z70" s="333"/>
      <c r="AA70" s="333"/>
      <c r="AB70" s="333"/>
      <c r="AC70" s="333"/>
      <c r="AD70" s="333"/>
      <c r="AE70" s="333"/>
      <c r="AF70" s="333"/>
      <c r="AG70" s="333"/>
      <c r="AI70" s="16"/>
      <c r="AJ70" s="16"/>
      <c r="AK70" s="16"/>
      <c r="AL70" s="16"/>
      <c r="AM70" s="16"/>
      <c r="AN70" s="16"/>
      <c r="AO70" s="16"/>
    </row>
    <row r="71" spans="1:41" ht="41.25" customHeight="1" thickBot="1" x14ac:dyDescent="0.4">
      <c r="A71" s="30"/>
      <c r="B71" s="368" t="s">
        <v>105</v>
      </c>
      <c r="C71" s="538"/>
      <c r="D71" s="540"/>
      <c r="E71" s="96" t="s">
        <v>80</v>
      </c>
      <c r="F71" s="491">
        <f>VLOOKUP($B71, 'Hazard Values'!$G$6:$M$34, 6,FALSE )</f>
        <v>100</v>
      </c>
      <c r="G71" s="433">
        <f>IFERROR(D70/$G$12, "")</f>
        <v>862.52307692307704</v>
      </c>
      <c r="H71" s="433">
        <f>IFERROR(D70/$G$13, "")</f>
        <v>825.9007204258877</v>
      </c>
      <c r="I71" s="433">
        <f t="shared" si="5"/>
        <v>21563.076923076926</v>
      </c>
      <c r="J71" s="118" t="s">
        <v>79</v>
      </c>
      <c r="K71" s="431"/>
      <c r="L71" s="333"/>
      <c r="M71" s="333"/>
      <c r="N71" s="507"/>
      <c r="O71" s="509"/>
      <c r="P71" s="96" t="s">
        <v>80</v>
      </c>
      <c r="Q71" s="167">
        <f>VLOOKUP($B72, 'Hazard Values'!$G$6:$M$34, 6,FALSE )</f>
        <v>30</v>
      </c>
      <c r="R71" s="51">
        <f>IFERROR(O70/$R$11,"")</f>
        <v>27.285609789781638</v>
      </c>
      <c r="S71" s="51">
        <f>IFERROR(O70/$R$13,"")</f>
        <v>136.42804894890818</v>
      </c>
      <c r="T71" s="118" t="str">
        <f>IFERROR(O70/$R$15,"")</f>
        <v/>
      </c>
      <c r="X71" s="333"/>
      <c r="Y71" s="333"/>
      <c r="Z71" s="333"/>
      <c r="AA71" s="333"/>
      <c r="AB71" s="333"/>
      <c r="AC71" s="333"/>
      <c r="AD71" s="333"/>
      <c r="AE71" s="333"/>
      <c r="AF71" s="333"/>
      <c r="AG71" s="333"/>
      <c r="AI71" s="16"/>
      <c r="AJ71" s="16"/>
      <c r="AK71" s="16"/>
      <c r="AL71" s="16"/>
      <c r="AM71" s="16"/>
      <c r="AN71" s="16"/>
      <c r="AO71" s="16"/>
    </row>
    <row r="72" spans="1:41" ht="30" customHeight="1" x14ac:dyDescent="0.35">
      <c r="A72" s="30"/>
      <c r="B72" s="368" t="s">
        <v>107</v>
      </c>
      <c r="C72" s="507" t="s">
        <v>106</v>
      </c>
      <c r="D72" s="525">
        <f>VLOOKUP($B72, 'Hazard Values'!$G$6:$M$35, 3, FALSE)</f>
        <v>21</v>
      </c>
      <c r="E72" s="97" t="s">
        <v>32</v>
      </c>
      <c r="F72" s="490">
        <f>VLOOKUP($B72, 'Hazard Values'!$G$6:$M$34, 6,FALSE )</f>
        <v>30</v>
      </c>
      <c r="G72" s="432">
        <f>IFERROR(D72/$G$10, "")</f>
        <v>34.556537583709826</v>
      </c>
      <c r="H72" s="432">
        <f>IFERROR(D72/$G$11, "")</f>
        <v>1002.5068119891008</v>
      </c>
      <c r="I72" s="432">
        <f t="shared" si="4"/>
        <v>863.91343959274559</v>
      </c>
      <c r="J72" s="65" t="s">
        <v>79</v>
      </c>
      <c r="K72" s="431"/>
      <c r="L72" s="333"/>
      <c r="M72" s="333"/>
      <c r="N72" s="507" t="s">
        <v>108</v>
      </c>
      <c r="O72" s="508">
        <f>VLOOKUP($B74, 'Hazard Values'!$G$6:$M$35, 4, FALSE)</f>
        <v>50</v>
      </c>
      <c r="P72" s="97" t="s">
        <v>32</v>
      </c>
      <c r="Q72" s="166">
        <f>VLOOKUP($B74, 'Hazard Values'!$G$6:$M$34, 6,FALSE )</f>
        <v>30</v>
      </c>
      <c r="R72" s="50">
        <f>IFERROR(O72/$R$10, "")</f>
        <v>20.670916507410325</v>
      </c>
      <c r="S72" s="50">
        <f>IFERROR(O72/$R$12, "")</f>
        <v>103.35458253705163</v>
      </c>
      <c r="T72" s="65" t="str">
        <f>IFERROR(O72/$R$14, "")</f>
        <v/>
      </c>
      <c r="X72" s="333"/>
      <c r="Y72" s="333"/>
      <c r="Z72" s="333"/>
      <c r="AA72" s="333"/>
      <c r="AB72" s="333"/>
      <c r="AC72" s="333"/>
      <c r="AD72" s="333"/>
      <c r="AE72" s="333"/>
      <c r="AF72" s="333"/>
      <c r="AG72" s="333"/>
      <c r="AI72" s="16"/>
      <c r="AJ72" s="16"/>
      <c r="AK72" s="16"/>
      <c r="AL72" s="16"/>
      <c r="AM72" s="16"/>
      <c r="AN72" s="16"/>
      <c r="AO72" s="16"/>
    </row>
    <row r="73" spans="1:41" ht="30" customHeight="1" thickBot="1" x14ac:dyDescent="0.4">
      <c r="A73" s="30"/>
      <c r="B73" s="368" t="s">
        <v>107</v>
      </c>
      <c r="C73" s="507"/>
      <c r="D73" s="526"/>
      <c r="E73" s="96" t="s">
        <v>80</v>
      </c>
      <c r="F73" s="491">
        <f>VLOOKUP($B73, 'Hazard Values'!$G$6:$M$34, 6,FALSE )</f>
        <v>30</v>
      </c>
      <c r="G73" s="433">
        <f>IFERROR(D72/$G$12, "")</f>
        <v>2830.1538461538462</v>
      </c>
      <c r="H73" s="433">
        <f>IFERROR(D72/$G$13, "")</f>
        <v>2709.986738897444</v>
      </c>
      <c r="I73" s="433">
        <f t="shared" si="4"/>
        <v>70753.846153846156</v>
      </c>
      <c r="J73" s="118" t="s">
        <v>79</v>
      </c>
      <c r="K73" s="431"/>
      <c r="L73" s="333"/>
      <c r="M73" s="333"/>
      <c r="N73" s="507"/>
      <c r="O73" s="509"/>
      <c r="P73" s="96" t="s">
        <v>80</v>
      </c>
      <c r="Q73" s="167">
        <f>VLOOKUP($B75, 'Hazard Values'!$G$6:$M$34, 6,FALSE )</f>
        <v>30</v>
      </c>
      <c r="R73" s="51">
        <f>IFERROR(O72/$R$11,"")</f>
        <v>62.012749522230997</v>
      </c>
      <c r="S73" s="51">
        <f>IFERROR(O72/$R$13,"")</f>
        <v>310.06374761115495</v>
      </c>
      <c r="T73" s="118" t="str">
        <f>IFERROR(O72/$R$15,"")</f>
        <v/>
      </c>
      <c r="X73" s="333"/>
      <c r="Y73" s="333"/>
      <c r="Z73" s="333"/>
      <c r="AA73" s="333"/>
      <c r="AB73" s="333"/>
      <c r="AC73" s="333"/>
      <c r="AD73" s="333"/>
      <c r="AE73" s="333"/>
      <c r="AF73" s="333"/>
      <c r="AG73" s="333"/>
      <c r="AI73" s="16"/>
      <c r="AJ73" s="16"/>
      <c r="AK73" s="16"/>
      <c r="AL73" s="16"/>
      <c r="AM73" s="16"/>
      <c r="AN73" s="16"/>
      <c r="AO73" s="16"/>
    </row>
    <row r="74" spans="1:41" ht="30" customHeight="1" x14ac:dyDescent="0.35">
      <c r="A74" s="30"/>
      <c r="B74" s="368" t="s">
        <v>109</v>
      </c>
      <c r="C74" s="507" t="s">
        <v>108</v>
      </c>
      <c r="D74" s="525">
        <f>VLOOKUP($B74, 'Hazard Values'!$G$6:$M$35, 3, FALSE)</f>
        <v>29</v>
      </c>
      <c r="E74" s="97" t="s">
        <v>32</v>
      </c>
      <c r="F74" s="490">
        <f>VLOOKUP($B74, 'Hazard Values'!$G$6:$M$34, 6,FALSE )</f>
        <v>30</v>
      </c>
      <c r="G74" s="432">
        <f>IFERROR(D74/$G$10, "")</f>
        <v>47.720932853694521</v>
      </c>
      <c r="H74" s="432">
        <f>IFERROR(D74/$G$11, "")</f>
        <v>1384.4141689373298</v>
      </c>
      <c r="I74" s="432">
        <f t="shared" si="4"/>
        <v>1193.023321342363</v>
      </c>
      <c r="J74" s="65" t="s">
        <v>79</v>
      </c>
      <c r="K74" s="431"/>
      <c r="L74" s="333"/>
      <c r="M74" s="333"/>
      <c r="N74" s="507" t="s">
        <v>110</v>
      </c>
      <c r="O74" s="508">
        <f>VLOOKUP($B76, 'Hazard Values'!$G$6:$M$35, 4, FALSE)</f>
        <v>31</v>
      </c>
      <c r="P74" s="97" t="s">
        <v>32</v>
      </c>
      <c r="Q74" s="166">
        <f>VLOOKUP($B76, 'Hazard Values'!$G$6:$M$34, 6,FALSE )</f>
        <v>30</v>
      </c>
      <c r="R74" s="50">
        <f>IFERROR(O74/$R$10, "")</f>
        <v>12.815968234594401</v>
      </c>
      <c r="S74" s="50">
        <f>IFERROR(O74/$R$12, "")</f>
        <v>64.07984117297201</v>
      </c>
      <c r="T74" s="65" t="str">
        <f>IFERROR(O74/$R$14, "")</f>
        <v/>
      </c>
      <c r="X74" s="333"/>
      <c r="Y74" s="333"/>
      <c r="Z74" s="333"/>
      <c r="AA74" s="333"/>
      <c r="AB74" s="333"/>
      <c r="AC74" s="333"/>
      <c r="AD74" s="333"/>
      <c r="AE74" s="333"/>
      <c r="AF74" s="333"/>
      <c r="AG74" s="333"/>
      <c r="AI74" s="16"/>
      <c r="AJ74" s="16"/>
      <c r="AK74" s="16"/>
      <c r="AL74" s="16"/>
      <c r="AM74" s="16"/>
      <c r="AN74" s="16"/>
      <c r="AO74" s="16"/>
    </row>
    <row r="75" spans="1:41" ht="30" customHeight="1" thickBot="1" x14ac:dyDescent="0.4">
      <c r="A75" s="30"/>
      <c r="B75" s="368" t="s">
        <v>109</v>
      </c>
      <c r="C75" s="507"/>
      <c r="D75" s="526"/>
      <c r="E75" s="96" t="s">
        <v>80</v>
      </c>
      <c r="F75" s="491">
        <f>VLOOKUP($B75, 'Hazard Values'!$G$6:$M$34, 6,FALSE )</f>
        <v>30</v>
      </c>
      <c r="G75" s="433">
        <f>IFERROR(D74/$G$12, "")</f>
        <v>3908.3076923076924</v>
      </c>
      <c r="H75" s="433">
        <f>IFERROR(D74/$G$13, "")</f>
        <v>3742.3626394298035</v>
      </c>
      <c r="I75" s="433">
        <f t="shared" si="4"/>
        <v>97707.692307692312</v>
      </c>
      <c r="J75" s="118" t="s">
        <v>79</v>
      </c>
      <c r="K75" s="431"/>
      <c r="L75" s="333"/>
      <c r="M75" s="333"/>
      <c r="N75" s="537"/>
      <c r="O75" s="509"/>
      <c r="P75" s="96" t="s">
        <v>80</v>
      </c>
      <c r="Q75" s="167">
        <f>VLOOKUP($B77, 'Hazard Values'!$G$6:$M$34, 6,FALSE )</f>
        <v>30</v>
      </c>
      <c r="R75" s="51">
        <f>IFERROR(O74/$R$11,"")</f>
        <v>38.447904703783216</v>
      </c>
      <c r="S75" s="51">
        <f>IFERROR(O74/$R$13,"")</f>
        <v>192.23952351891609</v>
      </c>
      <c r="T75" s="118" t="str">
        <f>IFERROR(O74/$R$15,"")</f>
        <v/>
      </c>
      <c r="X75" s="333"/>
      <c r="Y75" s="333"/>
      <c r="Z75" s="333"/>
      <c r="AA75" s="333"/>
      <c r="AB75" s="333"/>
      <c r="AC75" s="333"/>
      <c r="AD75" s="333"/>
      <c r="AE75" s="333"/>
      <c r="AF75" s="333"/>
      <c r="AG75" s="333"/>
      <c r="AI75" s="16"/>
      <c r="AJ75" s="16"/>
      <c r="AK75" s="16"/>
      <c r="AL75" s="16"/>
      <c r="AM75" s="16"/>
      <c r="AN75" s="16"/>
      <c r="AO75" s="16"/>
    </row>
    <row r="76" spans="1:41" ht="30" customHeight="1" x14ac:dyDescent="0.35">
      <c r="A76" s="30"/>
      <c r="B76" s="368" t="s">
        <v>111</v>
      </c>
      <c r="C76" s="507" t="s">
        <v>110</v>
      </c>
      <c r="D76" s="525">
        <f>VLOOKUP($B76, 'Hazard Values'!$G$6:$M$35, 3, FALSE)</f>
        <v>18</v>
      </c>
      <c r="E76" s="97" t="s">
        <v>32</v>
      </c>
      <c r="F76" s="490">
        <f>VLOOKUP($B76, 'Hazard Values'!$G$6:$M$34, 6,FALSE )</f>
        <v>30</v>
      </c>
      <c r="G76" s="432">
        <f>IFERROR(D76/$G$10, "")</f>
        <v>29.619889357465564</v>
      </c>
      <c r="H76" s="432">
        <f>IFERROR(D76/$G$11, "")</f>
        <v>859.29155313351498</v>
      </c>
      <c r="I76" s="432">
        <f t="shared" si="4"/>
        <v>740.49723393663908</v>
      </c>
      <c r="J76" s="65" t="s">
        <v>79</v>
      </c>
      <c r="K76" s="431"/>
      <c r="L76" s="333"/>
      <c r="M76" s="333"/>
      <c r="N76" s="507" t="s">
        <v>112</v>
      </c>
      <c r="O76" s="508">
        <f>VLOOKUP($B78, 'Hazard Values'!$G$6:$M$35, 4, FALSE)</f>
        <v>28</v>
      </c>
      <c r="P76" s="97" t="s">
        <v>32</v>
      </c>
      <c r="Q76" s="166">
        <f>VLOOKUP($B78, 'Hazard Values'!$G$6:$M$34, 6,FALSE )</f>
        <v>30</v>
      </c>
      <c r="R76" s="50">
        <f>IFERROR(O76/$R$10, "")</f>
        <v>11.575713244149782</v>
      </c>
      <c r="S76" s="50">
        <f>IFERROR(O76/$R$12, "")</f>
        <v>57.878566220748915</v>
      </c>
      <c r="T76" s="65" t="str">
        <f>IFERROR(O76/$R$14, "")</f>
        <v/>
      </c>
      <c r="X76" s="333"/>
      <c r="Y76" s="333"/>
      <c r="Z76" s="333"/>
      <c r="AA76" s="333"/>
      <c r="AB76" s="333"/>
      <c r="AC76" s="333"/>
      <c r="AD76" s="333"/>
      <c r="AE76" s="333"/>
      <c r="AF76" s="333"/>
      <c r="AG76" s="333"/>
      <c r="AI76" s="16"/>
      <c r="AJ76" s="16"/>
      <c r="AK76" s="16"/>
      <c r="AL76" s="16"/>
      <c r="AM76" s="16"/>
      <c r="AN76" s="16"/>
      <c r="AO76" s="16"/>
    </row>
    <row r="77" spans="1:41" ht="30" customHeight="1" thickBot="1" x14ac:dyDescent="0.4">
      <c r="A77" s="30"/>
      <c r="B77" s="368" t="s">
        <v>111</v>
      </c>
      <c r="C77" s="537"/>
      <c r="D77" s="526"/>
      <c r="E77" s="96" t="s">
        <v>80</v>
      </c>
      <c r="F77" s="491">
        <f>VLOOKUP($B77, 'Hazard Values'!$G$6:$M$34, 6,FALSE )</f>
        <v>30</v>
      </c>
      <c r="G77" s="433">
        <f>IFERROR(D76/$G$12, "")</f>
        <v>2425.8461538461538</v>
      </c>
      <c r="H77" s="433">
        <f>IFERROR(D76/$G$13, "")</f>
        <v>2322.8457761978088</v>
      </c>
      <c r="I77" s="433">
        <f t="shared" si="4"/>
        <v>60646.153846153844</v>
      </c>
      <c r="J77" s="118" t="s">
        <v>79</v>
      </c>
      <c r="K77" s="431"/>
      <c r="L77" s="333"/>
      <c r="M77" s="333"/>
      <c r="N77" s="510"/>
      <c r="O77" s="509"/>
      <c r="P77" s="96" t="s">
        <v>80</v>
      </c>
      <c r="Q77" s="167">
        <f>VLOOKUP($B79, 'Hazard Values'!$G$6:$M$34, 6,FALSE )</f>
        <v>30</v>
      </c>
      <c r="R77" s="51">
        <f>IFERROR(O76/$R$11,"")</f>
        <v>34.727139732449359</v>
      </c>
      <c r="S77" s="51">
        <f>IFERROR(O76/$R$13,"")</f>
        <v>173.6356986622468</v>
      </c>
      <c r="T77" s="118" t="str">
        <f>IFERROR(O76/$R$15,"")</f>
        <v/>
      </c>
      <c r="X77" s="333"/>
      <c r="Y77" s="333"/>
      <c r="Z77" s="333"/>
      <c r="AA77" s="333"/>
      <c r="AB77" s="333"/>
      <c r="AC77" s="333"/>
      <c r="AD77" s="333"/>
      <c r="AE77" s="333"/>
      <c r="AF77" s="333"/>
      <c r="AG77" s="333"/>
      <c r="AI77" s="16"/>
      <c r="AJ77" s="16"/>
      <c r="AK77" s="16"/>
      <c r="AL77" s="16"/>
      <c r="AM77" s="16"/>
      <c r="AN77" s="16"/>
      <c r="AO77" s="16"/>
    </row>
    <row r="78" spans="1:41" ht="15" thickBot="1" x14ac:dyDescent="0.4">
      <c r="A78" s="30"/>
      <c r="B78" s="368" t="s">
        <v>113</v>
      </c>
      <c r="C78" s="507" t="s">
        <v>112</v>
      </c>
      <c r="D78" s="525">
        <f>VLOOKUP($B78, 'Hazard Values'!$G$6:$M$35, 3, FALSE)</f>
        <v>16</v>
      </c>
      <c r="E78" s="97" t="s">
        <v>32</v>
      </c>
      <c r="F78" s="490">
        <f>VLOOKUP($B78, 'Hazard Values'!$G$6:$M$34, 6,FALSE )</f>
        <v>30</v>
      </c>
      <c r="G78" s="432">
        <f>IFERROR(D78/$G$10, "")</f>
        <v>26.32879053996939</v>
      </c>
      <c r="H78" s="432">
        <f>IFERROR(D78/$G$11, "")</f>
        <v>763.81471389645776</v>
      </c>
      <c r="I78" s="432">
        <f t="shared" ref="I78:I79" si="6">IFERROR(G78*$J$4,"")</f>
        <v>658.21976349923477</v>
      </c>
      <c r="J78" s="65" t="s">
        <v>79</v>
      </c>
      <c r="K78" s="29"/>
      <c r="L78" s="29"/>
      <c r="M78" s="29"/>
      <c r="N78" s="236"/>
      <c r="O78" s="236"/>
      <c r="P78" s="236"/>
      <c r="Q78" s="39"/>
      <c r="T78" s="47"/>
      <c r="X78" s="29"/>
      <c r="Y78" s="29"/>
      <c r="Z78" s="29"/>
      <c r="AA78" s="29"/>
      <c r="AB78" s="29"/>
      <c r="AC78" s="29"/>
      <c r="AD78" s="29"/>
      <c r="AE78" s="29"/>
      <c r="AF78" s="29"/>
      <c r="AG78" s="29"/>
      <c r="AI78" s="16"/>
      <c r="AJ78" s="16"/>
      <c r="AK78" s="16"/>
      <c r="AL78" s="16"/>
      <c r="AM78" s="16"/>
      <c r="AN78" s="16"/>
      <c r="AO78" s="16"/>
    </row>
    <row r="79" spans="1:41" ht="36" customHeight="1" thickBot="1" x14ac:dyDescent="0.4">
      <c r="A79" s="30"/>
      <c r="B79" s="368" t="s">
        <v>113</v>
      </c>
      <c r="C79" s="510"/>
      <c r="D79" s="526"/>
      <c r="E79" s="96" t="s">
        <v>80</v>
      </c>
      <c r="F79" s="491">
        <f>VLOOKUP($B79, 'Hazard Values'!$G$6:$M$34, 6,FALSE )</f>
        <v>30</v>
      </c>
      <c r="G79" s="433">
        <f>IFERROR(D78/$G$12, "")</f>
        <v>2156.3076923076924</v>
      </c>
      <c r="H79" s="433">
        <f>IFERROR(D78/$G$13, "")</f>
        <v>2064.7518010647191</v>
      </c>
      <c r="I79" s="433">
        <f t="shared" si="6"/>
        <v>53907.692307692312</v>
      </c>
      <c r="J79" s="118" t="s">
        <v>79</v>
      </c>
      <c r="K79" s="68"/>
      <c r="L79" s="68"/>
      <c r="M79" s="68"/>
      <c r="N79" s="27" t="s">
        <v>114</v>
      </c>
      <c r="O79" s="27"/>
      <c r="P79" s="29"/>
      <c r="Q79" s="295"/>
      <c r="R79" s="482" t="s">
        <v>115</v>
      </c>
      <c r="S79" s="543" t="s">
        <v>73</v>
      </c>
      <c r="T79" s="544"/>
      <c r="X79" s="68"/>
      <c r="Y79" s="68"/>
      <c r="Z79" s="68"/>
      <c r="AA79" s="68"/>
      <c r="AB79" s="68"/>
      <c r="AC79" s="68"/>
      <c r="AD79" s="68"/>
      <c r="AE79" s="68"/>
      <c r="AF79" s="68"/>
      <c r="AG79" s="68"/>
      <c r="AI79" s="16"/>
      <c r="AJ79" s="16"/>
      <c r="AK79" s="16"/>
      <c r="AL79" s="16"/>
      <c r="AM79" s="16"/>
      <c r="AN79" s="16"/>
      <c r="AO79" s="16"/>
    </row>
    <row r="80" spans="1:41" ht="15" thickBot="1" x14ac:dyDescent="0.4">
      <c r="A80" s="29"/>
      <c r="B80" s="492"/>
      <c r="C80" s="236"/>
      <c r="D80" s="16"/>
      <c r="E80" s="39"/>
      <c r="F80" s="40"/>
      <c r="G80" s="430"/>
      <c r="H80" s="429"/>
      <c r="I80" s="29"/>
      <c r="J80" s="29"/>
      <c r="K80" s="68"/>
      <c r="L80" s="68"/>
      <c r="M80" s="68"/>
      <c r="N80" s="296" t="s">
        <v>116</v>
      </c>
      <c r="O80" s="297" t="s">
        <v>117</v>
      </c>
      <c r="P80" s="298" t="s">
        <v>15</v>
      </c>
      <c r="Q80" s="299" t="s">
        <v>118</v>
      </c>
      <c r="R80" s="484" t="s">
        <v>119</v>
      </c>
      <c r="S80" s="300" t="str">
        <f>_xlfn.CONCAT("Gloves: PF of ",$K$4)</f>
        <v>Gloves: PF of 5</v>
      </c>
      <c r="T80" s="301" t="s">
        <v>120</v>
      </c>
      <c r="X80" s="68"/>
      <c r="Y80" s="68"/>
      <c r="Z80" s="68"/>
      <c r="AA80" s="68"/>
      <c r="AB80" s="68"/>
      <c r="AC80" s="68"/>
      <c r="AD80" s="68"/>
      <c r="AE80" s="68"/>
      <c r="AF80" s="68"/>
      <c r="AG80" s="68"/>
      <c r="AI80" s="16"/>
      <c r="AJ80" s="16"/>
      <c r="AK80" s="16"/>
      <c r="AL80" s="16"/>
      <c r="AM80" s="16"/>
      <c r="AN80" s="16"/>
      <c r="AO80" s="16"/>
    </row>
    <row r="81" spans="1:82" ht="21.5" thickBot="1" x14ac:dyDescent="0.4">
      <c r="A81" s="29"/>
      <c r="C81" s="27" t="s">
        <v>114</v>
      </c>
      <c r="D81" s="18"/>
      <c r="E81" s="54"/>
      <c r="G81" s="541" t="s">
        <v>115</v>
      </c>
      <c r="H81" s="542"/>
      <c r="I81" s="543" t="str">
        <f>_xlfn.CONCAT("Respirator Scenario: APF of ",$J$4)</f>
        <v>Respirator Scenario: APF of 25</v>
      </c>
      <c r="J81" s="544"/>
      <c r="K81" s="334"/>
      <c r="L81" s="334"/>
      <c r="M81" s="334"/>
      <c r="N81" s="547" t="s">
        <v>121</v>
      </c>
      <c r="O81" s="549">
        <f>VLOOKUP($B83,'Hazard Values'!$G$6:$N$35, 8, 2)</f>
        <v>2E-3</v>
      </c>
      <c r="P81" s="97" t="s">
        <v>32</v>
      </c>
      <c r="Q81" s="545" t="s">
        <v>122</v>
      </c>
      <c r="R81" s="169">
        <f>IFERROR($S$10*O81, "")</f>
        <v>2.4808794164335752E-3</v>
      </c>
      <c r="S81" s="169">
        <f>IFERROR($S$12*O81, "")</f>
        <v>4.96175883286715E-4</v>
      </c>
      <c r="T81" s="170" t="str">
        <f>IFERROR($S$14*O81, "")</f>
        <v/>
      </c>
      <c r="X81" s="334"/>
      <c r="Y81" s="334"/>
      <c r="Z81" s="334"/>
      <c r="AA81" s="334"/>
      <c r="AB81" s="334"/>
      <c r="AC81" s="334"/>
      <c r="AD81" s="334"/>
      <c r="AE81" s="334"/>
      <c r="AF81" s="334"/>
      <c r="AG81" s="334"/>
      <c r="AI81" s="16"/>
      <c r="AJ81" s="16"/>
      <c r="AK81" s="16"/>
      <c r="AL81" s="16"/>
      <c r="AM81" s="16"/>
      <c r="AN81" s="16"/>
      <c r="AO81" s="16"/>
    </row>
    <row r="82" spans="1:82" s="18" customFormat="1" ht="15" thickBot="1" x14ac:dyDescent="0.35">
      <c r="A82" s="29"/>
      <c r="B82" s="15"/>
      <c r="C82" s="296" t="s">
        <v>116</v>
      </c>
      <c r="D82" s="442" t="s">
        <v>123</v>
      </c>
      <c r="E82" s="442" t="s">
        <v>15</v>
      </c>
      <c r="F82" s="299" t="s">
        <v>118</v>
      </c>
      <c r="G82" s="481" t="s">
        <v>124</v>
      </c>
      <c r="H82" s="481" t="s">
        <v>125</v>
      </c>
      <c r="I82" s="481" t="s">
        <v>124</v>
      </c>
      <c r="J82" s="443" t="s">
        <v>125</v>
      </c>
      <c r="K82" s="334"/>
      <c r="L82" s="334"/>
      <c r="M82" s="334"/>
      <c r="N82" s="548"/>
      <c r="O82" s="550"/>
      <c r="P82" s="96" t="s">
        <v>35</v>
      </c>
      <c r="Q82" s="546"/>
      <c r="R82" s="171">
        <f>IFERROR($S$11*O81, "")</f>
        <v>6.4089384924533998E-4</v>
      </c>
      <c r="S82" s="171">
        <f>IFERROR($S$13*O81, "")</f>
        <v>1.2817876984906802E-4</v>
      </c>
      <c r="T82" s="172" t="str">
        <f>IFERROR($S$15*O81, "")</f>
        <v/>
      </c>
      <c r="U82" s="16"/>
      <c r="V82" s="16"/>
      <c r="W82" s="16"/>
      <c r="X82" s="334"/>
      <c r="Y82" s="334"/>
      <c r="Z82" s="334"/>
      <c r="AA82" s="334"/>
      <c r="AB82" s="334"/>
      <c r="AC82" s="334"/>
      <c r="AD82" s="334"/>
      <c r="AE82" s="334"/>
      <c r="AF82" s="334"/>
      <c r="AG82" s="334"/>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row>
    <row r="83" spans="1:82" x14ac:dyDescent="0.35">
      <c r="A83" s="29"/>
      <c r="B83" s="492" t="s">
        <v>126</v>
      </c>
      <c r="C83" s="521" t="s">
        <v>127</v>
      </c>
      <c r="D83" s="523">
        <f>VLOOKUP($B83, 'Hazard Values'!$G$6:$N$35, 7, 2)</f>
        <v>2E-3</v>
      </c>
      <c r="E83" s="414" t="s">
        <v>32</v>
      </c>
      <c r="F83" s="444" t="s">
        <v>128</v>
      </c>
      <c r="G83" s="169">
        <f>IFERROR(H10*D83, "")</f>
        <v>6.2328181711743334E-4</v>
      </c>
      <c r="H83" s="169">
        <f>IFERROR(H11*D83, "")</f>
        <v>2.1484603676384498E-5</v>
      </c>
      <c r="I83" s="169">
        <f>IFERROR(G83/$J$4,"")</f>
        <v>2.4931272684697334E-5</v>
      </c>
      <c r="J83" s="65" t="s">
        <v>79</v>
      </c>
      <c r="S83" s="18"/>
      <c r="T83" s="29"/>
      <c r="AI83" s="16"/>
      <c r="AJ83" s="16"/>
      <c r="AK83" s="16"/>
      <c r="AL83" s="16"/>
      <c r="AM83" s="16"/>
      <c r="AN83" s="16"/>
      <c r="AO83" s="16"/>
    </row>
    <row r="84" spans="1:82" ht="15" thickBot="1" x14ac:dyDescent="0.4">
      <c r="A84" s="18"/>
      <c r="B84" s="492" t="s">
        <v>126</v>
      </c>
      <c r="C84" s="522"/>
      <c r="D84" s="524"/>
      <c r="E84" s="121" t="s">
        <v>35</v>
      </c>
      <c r="F84" s="445" t="s">
        <v>128</v>
      </c>
      <c r="G84" s="171">
        <f>IFERROR(H12*D83, "")</f>
        <v>5.8980213089802127E-6</v>
      </c>
      <c r="H84" s="171">
        <f>IFERROR(H13*D83, "")</f>
        <v>6.1595532748248601E-6</v>
      </c>
      <c r="I84" s="171">
        <f>IFERROR(G84/$J$4,"")</f>
        <v>2.3592085235920852E-7</v>
      </c>
      <c r="J84" s="118" t="s">
        <v>79</v>
      </c>
      <c r="R84" s="18"/>
      <c r="S84" s="29"/>
      <c r="T84" s="29"/>
      <c r="AI84" s="16"/>
      <c r="AJ84" s="16"/>
      <c r="AK84" s="16"/>
      <c r="AL84" s="16"/>
      <c r="AM84" s="16"/>
      <c r="AN84" s="16"/>
      <c r="AO84" s="16"/>
    </row>
    <row r="85" spans="1:82" x14ac:dyDescent="0.35">
      <c r="A85" s="18"/>
      <c r="B85" s="25"/>
      <c r="S85" s="18"/>
      <c r="T85" s="18"/>
      <c r="AI85" s="16"/>
      <c r="AJ85" s="16"/>
      <c r="AK85" s="16"/>
      <c r="AL85" s="16"/>
      <c r="AM85" s="16"/>
      <c r="AN85" s="16"/>
      <c r="AO85" s="16"/>
    </row>
    <row r="86" spans="1:82" x14ac:dyDescent="0.35">
      <c r="A86" s="29"/>
      <c r="S86" s="18"/>
      <c r="T86" s="18"/>
      <c r="AI86" s="16"/>
      <c r="AJ86" s="16"/>
      <c r="AK86" s="16"/>
      <c r="AL86" s="16"/>
      <c r="AM86" s="16"/>
      <c r="AN86" s="16"/>
      <c r="AO86" s="16"/>
    </row>
    <row r="87" spans="1:82" x14ac:dyDescent="0.35">
      <c r="A87" s="29"/>
      <c r="AI87" s="16"/>
      <c r="AJ87" s="16"/>
      <c r="AK87" s="16"/>
      <c r="AL87" s="16"/>
      <c r="AM87" s="16"/>
      <c r="AN87" s="16"/>
      <c r="AO87" s="16"/>
    </row>
    <row r="88" spans="1:82" ht="35.25" customHeight="1" x14ac:dyDescent="0.35">
      <c r="A88" s="18"/>
      <c r="AI88" s="16"/>
      <c r="AJ88" s="16"/>
      <c r="AK88" s="16"/>
      <c r="AL88" s="16"/>
      <c r="AM88" s="16"/>
      <c r="AN88" s="16"/>
      <c r="AO88" s="16"/>
    </row>
    <row r="89" spans="1:82" x14ac:dyDescent="0.35">
      <c r="A89" s="18"/>
      <c r="AI89" s="16"/>
      <c r="AJ89" s="16"/>
      <c r="AK89" s="16"/>
      <c r="AL89" s="16"/>
      <c r="AM89" s="16"/>
      <c r="AN89" s="16"/>
      <c r="AO89" s="16"/>
    </row>
    <row r="90" spans="1:82" x14ac:dyDescent="0.35">
      <c r="AI90" s="16"/>
      <c r="AJ90" s="16"/>
      <c r="AK90" s="16"/>
      <c r="AL90" s="16"/>
      <c r="AM90" s="16"/>
      <c r="AN90" s="16"/>
      <c r="AO90" s="16"/>
    </row>
    <row r="91" spans="1:82" x14ac:dyDescent="0.35">
      <c r="K91" s="18"/>
      <c r="L91" s="18"/>
      <c r="M91" s="18"/>
      <c r="X91" s="18"/>
      <c r="Y91" s="18"/>
      <c r="Z91" s="18"/>
      <c r="AA91" s="18"/>
      <c r="AB91" s="18"/>
      <c r="AC91" s="18"/>
      <c r="AD91" s="18"/>
      <c r="AE91" s="18"/>
      <c r="AF91" s="18"/>
      <c r="AG91" s="18"/>
      <c r="AI91" s="16"/>
      <c r="AJ91" s="16"/>
      <c r="AK91" s="16"/>
      <c r="AL91" s="16"/>
      <c r="AM91" s="16"/>
      <c r="AN91" s="16"/>
      <c r="AO91" s="16"/>
    </row>
    <row r="92" spans="1:82" x14ac:dyDescent="0.35">
      <c r="AI92" s="16"/>
      <c r="AJ92" s="16"/>
      <c r="AK92" s="16"/>
      <c r="AL92" s="16"/>
      <c r="AM92" s="16"/>
      <c r="AN92" s="16"/>
      <c r="AO92" s="16"/>
    </row>
    <row r="93" spans="1:82" x14ac:dyDescent="0.35">
      <c r="H93" s="18"/>
      <c r="I93" s="18"/>
      <c r="J93" s="18"/>
      <c r="AI93" s="16"/>
      <c r="AJ93" s="16"/>
      <c r="AK93" s="16"/>
      <c r="AL93" s="16"/>
      <c r="AM93" s="16"/>
      <c r="AN93" s="16"/>
      <c r="AO93" s="16"/>
    </row>
    <row r="94" spans="1:82" x14ac:dyDescent="0.35">
      <c r="AI94" s="16"/>
      <c r="AJ94" s="16"/>
      <c r="AK94" s="16"/>
      <c r="AL94" s="16"/>
      <c r="AM94" s="16"/>
      <c r="AN94" s="16"/>
      <c r="AO94" s="16"/>
    </row>
    <row r="95" spans="1:82" x14ac:dyDescent="0.35">
      <c r="AI95" s="16"/>
      <c r="AJ95" s="16"/>
      <c r="AK95" s="16"/>
      <c r="AL95" s="16"/>
      <c r="AM95" s="16"/>
      <c r="AN95" s="16"/>
      <c r="AO95" s="16"/>
    </row>
    <row r="96" spans="1:82" x14ac:dyDescent="0.35">
      <c r="AI96" s="16"/>
      <c r="AJ96" s="16"/>
      <c r="AK96" s="16"/>
      <c r="AL96" s="16"/>
      <c r="AM96" s="16"/>
      <c r="AN96" s="16"/>
      <c r="AO96" s="16"/>
    </row>
    <row r="97" spans="1:41" x14ac:dyDescent="0.35">
      <c r="AI97" s="16"/>
      <c r="AJ97" s="16"/>
      <c r="AK97" s="16"/>
      <c r="AL97" s="16"/>
      <c r="AM97" s="16"/>
      <c r="AN97" s="16"/>
      <c r="AO97" s="16"/>
    </row>
    <row r="98" spans="1:41" x14ac:dyDescent="0.35">
      <c r="N98" s="18"/>
      <c r="O98" s="18"/>
      <c r="P98" s="18"/>
      <c r="Q98" s="18"/>
      <c r="AI98" s="16"/>
      <c r="AJ98" s="16"/>
      <c r="AK98" s="16"/>
      <c r="AL98" s="16"/>
      <c r="AM98" s="16"/>
      <c r="AN98" s="16"/>
      <c r="AO98" s="16"/>
    </row>
    <row r="99" spans="1:41" x14ac:dyDescent="0.35">
      <c r="G99" s="18"/>
      <c r="AI99" s="16"/>
      <c r="AJ99" s="16"/>
      <c r="AK99" s="16"/>
      <c r="AL99" s="16"/>
      <c r="AM99" s="16"/>
      <c r="AN99" s="16"/>
      <c r="AO99" s="16"/>
    </row>
    <row r="100" spans="1:41" x14ac:dyDescent="0.35">
      <c r="AI100" s="16"/>
      <c r="AJ100" s="16"/>
      <c r="AK100" s="16"/>
      <c r="AL100" s="16"/>
      <c r="AM100" s="16"/>
      <c r="AN100" s="16"/>
      <c r="AO100" s="16"/>
    </row>
    <row r="101" spans="1:41" x14ac:dyDescent="0.35">
      <c r="C101" s="18"/>
      <c r="D101" s="25"/>
      <c r="E101" s="18"/>
      <c r="F101" s="18"/>
      <c r="K101" s="32"/>
      <c r="L101" s="32"/>
      <c r="M101" s="32"/>
      <c r="X101" s="32"/>
      <c r="Y101" s="32"/>
      <c r="Z101" s="32"/>
      <c r="AA101" s="32"/>
      <c r="AB101" s="32"/>
      <c r="AC101" s="32"/>
      <c r="AD101" s="32"/>
      <c r="AE101" s="32"/>
      <c r="AF101" s="32"/>
      <c r="AG101" s="32"/>
      <c r="AI101" s="16"/>
      <c r="AJ101" s="16"/>
      <c r="AK101" s="16"/>
      <c r="AL101" s="16"/>
      <c r="AM101" s="16"/>
      <c r="AN101" s="16"/>
      <c r="AO101" s="16"/>
    </row>
    <row r="102" spans="1:41" x14ac:dyDescent="0.35">
      <c r="K102" s="32"/>
      <c r="L102" s="32"/>
      <c r="M102" s="32"/>
      <c r="R102" s="18"/>
      <c r="X102" s="32"/>
      <c r="Y102" s="32"/>
      <c r="Z102" s="32"/>
      <c r="AA102" s="32"/>
      <c r="AB102" s="32"/>
      <c r="AC102" s="32"/>
      <c r="AD102" s="32"/>
      <c r="AE102" s="32"/>
      <c r="AF102" s="32"/>
      <c r="AG102" s="32"/>
      <c r="AI102" s="16"/>
      <c r="AJ102" s="16"/>
      <c r="AK102" s="16"/>
      <c r="AL102" s="16"/>
      <c r="AM102" s="16"/>
      <c r="AN102" s="16"/>
      <c r="AO102" s="16"/>
    </row>
    <row r="103" spans="1:41" x14ac:dyDescent="0.35">
      <c r="B103" s="25"/>
      <c r="H103" s="32"/>
      <c r="I103" s="32"/>
      <c r="J103" s="32"/>
      <c r="K103" s="31"/>
      <c r="L103" s="31"/>
      <c r="M103" s="31"/>
      <c r="X103" s="31"/>
      <c r="Y103" s="31"/>
      <c r="Z103" s="31"/>
      <c r="AA103" s="31"/>
      <c r="AB103" s="31"/>
      <c r="AC103" s="31"/>
      <c r="AD103" s="31"/>
      <c r="AE103" s="31"/>
      <c r="AF103" s="31"/>
      <c r="AG103" s="31"/>
      <c r="AI103" s="16"/>
      <c r="AJ103" s="16"/>
      <c r="AK103" s="16"/>
      <c r="AL103" s="16"/>
      <c r="AM103" s="16"/>
      <c r="AN103" s="16"/>
      <c r="AO103" s="16"/>
    </row>
    <row r="104" spans="1:41" x14ac:dyDescent="0.35">
      <c r="B104" s="37"/>
      <c r="H104" s="32"/>
      <c r="I104" s="32"/>
      <c r="J104" s="32"/>
      <c r="K104" s="31"/>
      <c r="L104" s="31"/>
      <c r="M104" s="31"/>
      <c r="S104" s="18"/>
      <c r="T104" s="18"/>
      <c r="X104" s="31"/>
      <c r="Y104" s="31"/>
      <c r="Z104" s="31"/>
      <c r="AA104" s="31"/>
      <c r="AB104" s="31"/>
      <c r="AC104" s="31"/>
      <c r="AD104" s="31"/>
      <c r="AE104" s="31"/>
      <c r="AF104" s="31"/>
      <c r="AG104" s="31"/>
      <c r="AI104" s="16"/>
      <c r="AJ104" s="16"/>
      <c r="AK104" s="16"/>
      <c r="AL104" s="16"/>
      <c r="AM104" s="16"/>
      <c r="AN104" s="16"/>
      <c r="AO104" s="16"/>
    </row>
    <row r="105" spans="1:41" x14ac:dyDescent="0.35">
      <c r="B105" s="37"/>
      <c r="H105" s="31"/>
      <c r="I105" s="31"/>
      <c r="J105" s="31"/>
      <c r="AI105" s="16"/>
      <c r="AJ105" s="16"/>
      <c r="AK105" s="16"/>
      <c r="AL105" s="16"/>
      <c r="AM105" s="16"/>
      <c r="AN105" s="16"/>
      <c r="AO105" s="16"/>
    </row>
    <row r="106" spans="1:41" x14ac:dyDescent="0.35">
      <c r="B106" s="37"/>
      <c r="H106" s="31"/>
      <c r="I106" s="31"/>
      <c r="J106" s="31"/>
      <c r="AI106" s="16"/>
      <c r="AJ106" s="16"/>
      <c r="AK106" s="16"/>
      <c r="AL106" s="16"/>
      <c r="AM106" s="16"/>
      <c r="AN106" s="16"/>
      <c r="AO106" s="16"/>
    </row>
    <row r="107" spans="1:41" x14ac:dyDescent="0.35">
      <c r="A107" s="18"/>
      <c r="B107" s="37"/>
      <c r="AI107" s="16"/>
      <c r="AJ107" s="16"/>
      <c r="AK107" s="16"/>
      <c r="AL107" s="16"/>
      <c r="AM107" s="16"/>
      <c r="AN107" s="16"/>
      <c r="AO107" s="16"/>
    </row>
    <row r="108" spans="1:41" x14ac:dyDescent="0.35">
      <c r="B108" s="37"/>
      <c r="N108" s="31"/>
      <c r="O108" s="31"/>
      <c r="P108" s="31"/>
      <c r="Q108" s="31"/>
      <c r="AI108" s="16"/>
      <c r="AJ108" s="16"/>
      <c r="AK108" s="16"/>
      <c r="AL108" s="16"/>
      <c r="AM108" s="16"/>
      <c r="AN108" s="16"/>
      <c r="AO108" s="16"/>
    </row>
    <row r="109" spans="1:41" x14ac:dyDescent="0.35">
      <c r="B109" s="37"/>
      <c r="G109" s="32"/>
      <c r="N109" s="31"/>
      <c r="O109" s="31"/>
      <c r="P109" s="31"/>
      <c r="Q109" s="31"/>
      <c r="AI109" s="16"/>
      <c r="AJ109" s="16"/>
      <c r="AK109" s="16"/>
      <c r="AL109" s="16"/>
      <c r="AM109" s="16"/>
      <c r="AN109" s="16"/>
      <c r="AO109" s="16"/>
    </row>
    <row r="110" spans="1:41" x14ac:dyDescent="0.35">
      <c r="B110" s="37"/>
      <c r="C110" s="36"/>
      <c r="D110" s="37"/>
      <c r="E110" s="36"/>
      <c r="AI110" s="16"/>
      <c r="AJ110" s="16"/>
      <c r="AK110" s="16"/>
      <c r="AL110" s="16"/>
      <c r="AM110" s="16"/>
      <c r="AN110" s="16"/>
      <c r="AO110" s="16"/>
    </row>
    <row r="111" spans="1:41" x14ac:dyDescent="0.35">
      <c r="B111" s="37"/>
      <c r="E111" s="38"/>
      <c r="F111" s="31"/>
      <c r="P111" s="15"/>
      <c r="AI111" s="16"/>
      <c r="AJ111" s="16"/>
      <c r="AK111" s="16"/>
      <c r="AL111" s="16"/>
      <c r="AM111" s="16"/>
      <c r="AN111" s="16"/>
      <c r="AO111" s="16"/>
    </row>
    <row r="112" spans="1:41" x14ac:dyDescent="0.35">
      <c r="N112" s="67" t="s">
        <v>129</v>
      </c>
      <c r="O112" s="67" t="s">
        <v>32</v>
      </c>
      <c r="P112" s="67" t="s">
        <v>35</v>
      </c>
      <c r="AI112" s="16"/>
      <c r="AJ112" s="16"/>
      <c r="AK112" s="16"/>
      <c r="AL112" s="16"/>
      <c r="AM112" s="16"/>
      <c r="AN112" s="16"/>
      <c r="AO112" s="16"/>
    </row>
    <row r="113" spans="3:41" x14ac:dyDescent="0.35">
      <c r="N113" s="69" t="str">
        <f>R80</f>
        <v>No Gloves</v>
      </c>
      <c r="O113" s="66">
        <f>R81</f>
        <v>2.4808794164335752E-3</v>
      </c>
      <c r="P113" s="66">
        <f>R82</f>
        <v>6.4089384924533998E-4</v>
      </c>
      <c r="AI113" s="16"/>
      <c r="AJ113" s="16"/>
      <c r="AK113" s="16"/>
      <c r="AL113" s="16"/>
      <c r="AM113" s="16"/>
      <c r="AN113" s="16"/>
      <c r="AO113" s="16"/>
    </row>
    <row r="114" spans="3:41" x14ac:dyDescent="0.35">
      <c r="C114" s="67" t="s">
        <v>130</v>
      </c>
      <c r="D114" s="67" t="s">
        <v>127</v>
      </c>
      <c r="E114" s="122" t="str">
        <f>_xlfn.CONCAT("Cancer Risk with APF of ",$J$4)</f>
        <v>Cancer Risk with APF of 25</v>
      </c>
      <c r="N114" s="302" t="str">
        <f>S80</f>
        <v>Gloves: PF of 5</v>
      </c>
      <c r="O114" s="66">
        <f>S81</f>
        <v>4.96175883286715E-4</v>
      </c>
      <c r="P114" s="66">
        <f>S82</f>
        <v>1.2817876984906802E-4</v>
      </c>
      <c r="AI114" s="16"/>
      <c r="AJ114" s="16"/>
      <c r="AK114" s="16"/>
      <c r="AL114" s="16"/>
      <c r="AM114" s="16"/>
      <c r="AN114" s="16"/>
      <c r="AO114" s="16"/>
    </row>
    <row r="115" spans="3:41" x14ac:dyDescent="0.35">
      <c r="C115" s="69" t="s">
        <v>131</v>
      </c>
      <c r="D115" s="66">
        <f>H84</f>
        <v>6.1595532748248601E-6</v>
      </c>
      <c r="E115" s="66" t="str">
        <f>J84</f>
        <v>N/A</v>
      </c>
      <c r="N115" s="69" t="str">
        <f>T80</f>
        <v>Occluded Exposure</v>
      </c>
      <c r="O115" s="66" t="str">
        <f>T81</f>
        <v/>
      </c>
      <c r="P115" s="66" t="str">
        <f>T82</f>
        <v/>
      </c>
      <c r="AI115" s="16"/>
      <c r="AJ115" s="16"/>
      <c r="AK115" s="16"/>
      <c r="AL115" s="16"/>
      <c r="AM115" s="16"/>
      <c r="AN115" s="16"/>
      <c r="AO115" s="16"/>
    </row>
    <row r="116" spans="3:41" x14ac:dyDescent="0.35">
      <c r="C116" s="69" t="s">
        <v>132</v>
      </c>
      <c r="D116" s="66">
        <f>H83</f>
        <v>2.1484603676384498E-5</v>
      </c>
      <c r="E116" s="66" t="str">
        <f>J83</f>
        <v>N/A</v>
      </c>
      <c r="AI116" s="16"/>
      <c r="AJ116" s="16"/>
      <c r="AK116" s="16"/>
      <c r="AL116" s="16"/>
      <c r="AM116" s="16"/>
      <c r="AN116" s="16"/>
      <c r="AO116" s="16"/>
    </row>
    <row r="117" spans="3:41" x14ac:dyDescent="0.35">
      <c r="C117" s="69" t="s">
        <v>133</v>
      </c>
      <c r="D117" s="66">
        <f>G84</f>
        <v>5.8980213089802127E-6</v>
      </c>
      <c r="E117" s="66">
        <f>I84</f>
        <v>2.3592085235920852E-7</v>
      </c>
      <c r="AI117" s="16"/>
      <c r="AJ117" s="16"/>
      <c r="AK117" s="16"/>
      <c r="AL117" s="16"/>
      <c r="AM117" s="16"/>
      <c r="AN117" s="16"/>
      <c r="AO117" s="16"/>
    </row>
    <row r="118" spans="3:41" x14ac:dyDescent="0.35">
      <c r="C118" s="69" t="s">
        <v>134</v>
      </c>
      <c r="D118" s="66">
        <f>G83</f>
        <v>6.2328181711743334E-4</v>
      </c>
      <c r="E118" s="66">
        <f>I83</f>
        <v>2.4931272684697334E-5</v>
      </c>
      <c r="AI118" s="16"/>
      <c r="AJ118" s="16"/>
      <c r="AK118" s="16"/>
      <c r="AL118" s="16"/>
      <c r="AM118" s="16"/>
      <c r="AN118" s="16"/>
      <c r="AO118" s="16"/>
    </row>
    <row r="119" spans="3:41" x14ac:dyDescent="0.35">
      <c r="AI119" s="16"/>
      <c r="AJ119" s="16"/>
      <c r="AK119" s="16"/>
      <c r="AL119" s="16"/>
      <c r="AM119" s="16"/>
      <c r="AN119" s="16"/>
      <c r="AO119" s="16"/>
    </row>
    <row r="120" spans="3:41" x14ac:dyDescent="0.35">
      <c r="AI120" s="16"/>
      <c r="AJ120" s="16"/>
      <c r="AK120" s="16"/>
      <c r="AL120" s="16"/>
      <c r="AM120" s="16"/>
      <c r="AN120" s="16"/>
      <c r="AO120" s="16"/>
    </row>
    <row r="121" spans="3:41" x14ac:dyDescent="0.35">
      <c r="AI121" s="16"/>
      <c r="AJ121" s="16"/>
      <c r="AK121" s="16"/>
      <c r="AL121" s="16"/>
      <c r="AM121" s="16"/>
      <c r="AN121" s="16"/>
      <c r="AO121" s="16"/>
    </row>
    <row r="122" spans="3:41" x14ac:dyDescent="0.35">
      <c r="AI122" s="16"/>
      <c r="AJ122" s="16"/>
      <c r="AK122" s="16"/>
      <c r="AL122" s="16"/>
      <c r="AM122" s="16"/>
      <c r="AN122" s="16"/>
      <c r="AO122" s="16"/>
    </row>
    <row r="123" spans="3:41" x14ac:dyDescent="0.35">
      <c r="AI123" s="16"/>
      <c r="AJ123" s="16"/>
      <c r="AK123" s="16"/>
      <c r="AL123" s="16"/>
      <c r="AM123" s="16"/>
      <c r="AN123" s="16"/>
      <c r="AO123" s="16"/>
    </row>
    <row r="124" spans="3:41" x14ac:dyDescent="0.35">
      <c r="AI124" s="16"/>
      <c r="AJ124" s="16"/>
      <c r="AK124" s="16"/>
      <c r="AL124" s="16"/>
      <c r="AM124" s="16"/>
      <c r="AN124" s="16"/>
      <c r="AO124" s="16"/>
    </row>
    <row r="125" spans="3:41" x14ac:dyDescent="0.35">
      <c r="AI125" s="16"/>
      <c r="AJ125" s="16"/>
      <c r="AK125" s="16"/>
      <c r="AL125" s="16"/>
      <c r="AM125" s="16"/>
      <c r="AN125" s="16"/>
      <c r="AO125" s="16"/>
    </row>
    <row r="126" spans="3:41" x14ac:dyDescent="0.35">
      <c r="AI126" s="16"/>
      <c r="AJ126" s="16"/>
      <c r="AK126" s="16"/>
      <c r="AL126" s="16"/>
      <c r="AM126" s="16"/>
      <c r="AN126" s="16"/>
      <c r="AO126" s="16"/>
    </row>
    <row r="127" spans="3:41" x14ac:dyDescent="0.35">
      <c r="AI127" s="16"/>
      <c r="AJ127" s="16"/>
      <c r="AK127" s="16"/>
      <c r="AL127" s="16"/>
      <c r="AM127" s="16"/>
      <c r="AN127" s="16"/>
      <c r="AO127" s="16"/>
    </row>
    <row r="128" spans="3:41" x14ac:dyDescent="0.35">
      <c r="AI128" s="16"/>
      <c r="AJ128" s="16"/>
      <c r="AK128" s="16"/>
      <c r="AL128" s="16"/>
      <c r="AM128" s="16"/>
      <c r="AN128" s="16"/>
      <c r="AO128" s="16"/>
    </row>
    <row r="129" spans="35:41" x14ac:dyDescent="0.35">
      <c r="AI129" s="16"/>
      <c r="AJ129" s="16"/>
      <c r="AK129" s="16"/>
      <c r="AL129" s="16"/>
      <c r="AM129" s="16"/>
      <c r="AN129" s="16"/>
      <c r="AO129" s="16"/>
    </row>
    <row r="130" spans="35:41" x14ac:dyDescent="0.35">
      <c r="AI130" s="16"/>
      <c r="AJ130" s="16"/>
      <c r="AK130" s="16"/>
      <c r="AL130" s="16"/>
      <c r="AM130" s="16"/>
      <c r="AN130" s="16"/>
      <c r="AO130" s="16"/>
    </row>
    <row r="131" spans="35:41" x14ac:dyDescent="0.35">
      <c r="AI131" s="16"/>
      <c r="AJ131" s="16"/>
      <c r="AK131" s="16"/>
      <c r="AL131" s="16"/>
      <c r="AM131" s="16"/>
      <c r="AN131" s="16"/>
      <c r="AO131" s="16"/>
    </row>
    <row r="132" spans="35:41" x14ac:dyDescent="0.35">
      <c r="AI132" s="16"/>
      <c r="AJ132" s="16"/>
      <c r="AK132" s="16"/>
      <c r="AL132" s="16"/>
      <c r="AM132" s="16"/>
      <c r="AN132" s="16"/>
      <c r="AO132" s="16"/>
    </row>
    <row r="133" spans="35:41" x14ac:dyDescent="0.35">
      <c r="AI133" s="16"/>
      <c r="AJ133" s="16"/>
      <c r="AK133" s="16"/>
      <c r="AL133" s="16"/>
      <c r="AM133" s="16"/>
      <c r="AN133" s="16"/>
      <c r="AO133" s="16"/>
    </row>
    <row r="134" spans="35:41" x14ac:dyDescent="0.35">
      <c r="AI134" s="16"/>
      <c r="AJ134" s="16"/>
      <c r="AK134" s="16"/>
      <c r="AL134" s="16"/>
      <c r="AM134" s="16"/>
      <c r="AN134" s="16"/>
      <c r="AO134" s="16"/>
    </row>
    <row r="135" spans="35:41" x14ac:dyDescent="0.35">
      <c r="AI135" s="16"/>
      <c r="AJ135" s="16"/>
      <c r="AK135" s="16"/>
      <c r="AL135" s="16"/>
      <c r="AM135" s="16"/>
      <c r="AN135" s="16"/>
      <c r="AO135" s="16"/>
    </row>
  </sheetData>
  <sheetProtection algorithmName="SHA-512" hashValue="yLBVh3xuvh5OnT7mUE3Nc90gJN3xx1jRFzGLmuRyZd22HsfBzqWN5MrDw7IXgWQjwz6qxR2KYqfNfuPW/LyM8g==" saltValue="zHVJiku5CTw8lYI8H/HKgw==" spinCount="100000" sheet="1" objects="1" scenarios="1"/>
  <dataConsolidate link="1"/>
  <mergeCells count="145">
    <mergeCell ref="D2:E2"/>
    <mergeCell ref="F38:F39"/>
    <mergeCell ref="D8:D9"/>
    <mergeCell ref="D20:D21"/>
    <mergeCell ref="D18:D19"/>
    <mergeCell ref="C15:H15"/>
    <mergeCell ref="C16:C17"/>
    <mergeCell ref="D16:D17"/>
    <mergeCell ref="F24:F25"/>
    <mergeCell ref="H24:I24"/>
    <mergeCell ref="E26:E27"/>
    <mergeCell ref="I38:J38"/>
    <mergeCell ref="J2:K2"/>
    <mergeCell ref="D38:D39"/>
    <mergeCell ref="E38:E39"/>
    <mergeCell ref="C8:C9"/>
    <mergeCell ref="D10:D11"/>
    <mergeCell ref="D12:D13"/>
    <mergeCell ref="E24:E25"/>
    <mergeCell ref="J24:K24"/>
    <mergeCell ref="D4:E4"/>
    <mergeCell ref="D3:E3"/>
    <mergeCell ref="C24:C25"/>
    <mergeCell ref="F30:F31"/>
    <mergeCell ref="N8:N9"/>
    <mergeCell ref="O8:O9"/>
    <mergeCell ref="N10:N11"/>
    <mergeCell ref="N12:N13"/>
    <mergeCell ref="N14:N15"/>
    <mergeCell ref="N37:Q37"/>
    <mergeCell ref="D54:D55"/>
    <mergeCell ref="D58:D59"/>
    <mergeCell ref="D60:D61"/>
    <mergeCell ref="D50:D51"/>
    <mergeCell ref="N50:N51"/>
    <mergeCell ref="O50:O51"/>
    <mergeCell ref="N52:N53"/>
    <mergeCell ref="O52:O53"/>
    <mergeCell ref="D24:D25"/>
    <mergeCell ref="G24:G25"/>
    <mergeCell ref="D26:D27"/>
    <mergeCell ref="F34:F35"/>
    <mergeCell ref="I48:J48"/>
    <mergeCell ref="D48:D49"/>
    <mergeCell ref="G38:H38"/>
    <mergeCell ref="G48:H48"/>
    <mergeCell ref="F48:F49"/>
    <mergeCell ref="E48:E49"/>
    <mergeCell ref="S38:T38"/>
    <mergeCell ref="N48:N49"/>
    <mergeCell ref="O48:O49"/>
    <mergeCell ref="P48:P49"/>
    <mergeCell ref="Q48:Q49"/>
    <mergeCell ref="S48:T48"/>
    <mergeCell ref="N38:N39"/>
    <mergeCell ref="O38:O39"/>
    <mergeCell ref="P38:P39"/>
    <mergeCell ref="Q38:Q39"/>
    <mergeCell ref="N40:N41"/>
    <mergeCell ref="O40:O41"/>
    <mergeCell ref="Q81:Q82"/>
    <mergeCell ref="N64:N65"/>
    <mergeCell ref="O64:O65"/>
    <mergeCell ref="N66:N67"/>
    <mergeCell ref="O66:O67"/>
    <mergeCell ref="N72:N73"/>
    <mergeCell ref="O72:O73"/>
    <mergeCell ref="S79:T79"/>
    <mergeCell ref="N54:N55"/>
    <mergeCell ref="O54:O55"/>
    <mergeCell ref="N56:N57"/>
    <mergeCell ref="O56:O57"/>
    <mergeCell ref="N58:N59"/>
    <mergeCell ref="O58:O59"/>
    <mergeCell ref="N60:N61"/>
    <mergeCell ref="O60:O61"/>
    <mergeCell ref="N62:N63"/>
    <mergeCell ref="O62:O63"/>
    <mergeCell ref="N68:N69"/>
    <mergeCell ref="O68:O69"/>
    <mergeCell ref="N81:N82"/>
    <mergeCell ref="O81:O82"/>
    <mergeCell ref="N74:N75"/>
    <mergeCell ref="O74:O75"/>
    <mergeCell ref="G81:H81"/>
    <mergeCell ref="I81:J81"/>
    <mergeCell ref="C74:C75"/>
    <mergeCell ref="C66:C67"/>
    <mergeCell ref="C68:C69"/>
    <mergeCell ref="C72:C73"/>
    <mergeCell ref="C60:C61"/>
    <mergeCell ref="C62:C63"/>
    <mergeCell ref="C64:C65"/>
    <mergeCell ref="D62:D63"/>
    <mergeCell ref="D64:D65"/>
    <mergeCell ref="D66:D67"/>
    <mergeCell ref="D68:D69"/>
    <mergeCell ref="D72:D73"/>
    <mergeCell ref="C76:C77"/>
    <mergeCell ref="D76:D77"/>
    <mergeCell ref="F32:F33"/>
    <mergeCell ref="D34:D35"/>
    <mergeCell ref="E34:E35"/>
    <mergeCell ref="C83:C84"/>
    <mergeCell ref="D83:D84"/>
    <mergeCell ref="D74:D75"/>
    <mergeCell ref="D52:D53"/>
    <mergeCell ref="C50:C51"/>
    <mergeCell ref="C48:C49"/>
    <mergeCell ref="C52:C53"/>
    <mergeCell ref="C38:C39"/>
    <mergeCell ref="C40:C41"/>
    <mergeCell ref="D40:D41"/>
    <mergeCell ref="C78:C79"/>
    <mergeCell ref="D78:D79"/>
    <mergeCell ref="C54:C55"/>
    <mergeCell ref="C58:C59"/>
    <mergeCell ref="C56:C57"/>
    <mergeCell ref="D56:D57"/>
    <mergeCell ref="C70:C71"/>
    <mergeCell ref="D70:D71"/>
    <mergeCell ref="N70:N71"/>
    <mergeCell ref="O70:O71"/>
    <mergeCell ref="N76:N77"/>
    <mergeCell ref="O76:O77"/>
    <mergeCell ref="B46:B47"/>
    <mergeCell ref="B48:B49"/>
    <mergeCell ref="F26:F27"/>
    <mergeCell ref="C26:C27"/>
    <mergeCell ref="C28:C29"/>
    <mergeCell ref="C30:C31"/>
    <mergeCell ref="C32:C33"/>
    <mergeCell ref="C34:C35"/>
    <mergeCell ref="B26:B27"/>
    <mergeCell ref="B28:B29"/>
    <mergeCell ref="B30:B31"/>
    <mergeCell ref="B32:B33"/>
    <mergeCell ref="B34:B35"/>
    <mergeCell ref="D28:D29"/>
    <mergeCell ref="E28:E29"/>
    <mergeCell ref="F28:F29"/>
    <mergeCell ref="D30:D31"/>
    <mergeCell ref="E30:E31"/>
    <mergeCell ref="D32:D33"/>
    <mergeCell ref="E32:E33"/>
  </mergeCells>
  <phoneticPr fontId="34" type="noConversion"/>
  <conditionalFormatting sqref="V81:AG82">
    <cfRule type="cellIs" dxfId="125" priority="336" operator="equal">
      <formula>0</formula>
    </cfRule>
  </conditionalFormatting>
  <conditionalFormatting sqref="V81:AG82">
    <cfRule type="containsBlanks" dxfId="124" priority="485" stopIfTrue="1">
      <formula>LEN(TRIM(V81))=0</formula>
    </cfRule>
  </conditionalFormatting>
  <conditionalFormatting sqref="G50:I69 G72:I77">
    <cfRule type="cellIs" dxfId="123" priority="111" operator="greaterThanOrEqual">
      <formula>$F50</formula>
    </cfRule>
    <cfRule type="cellIs" dxfId="122" priority="114" operator="lessThan">
      <formula>$F50</formula>
    </cfRule>
  </conditionalFormatting>
  <conditionalFormatting sqref="R50:T69 R72:T73">
    <cfRule type="cellIs" dxfId="121" priority="134" operator="greaterThanOrEqual">
      <formula>$Q50</formula>
    </cfRule>
    <cfRule type="cellIs" dxfId="120" priority="137" operator="lessThan">
      <formula>$Q50</formula>
    </cfRule>
  </conditionalFormatting>
  <conditionalFormatting sqref="H26:K27">
    <cfRule type="cellIs" dxfId="119" priority="519" operator="lessThanOrEqual">
      <formula>$D$26</formula>
    </cfRule>
    <cfRule type="cellIs" dxfId="118" priority="520" operator="between">
      <formula>$D$26</formula>
      <formula>$E$26</formula>
    </cfRule>
    <cfRule type="cellIs" dxfId="117" priority="521" operator="between">
      <formula>$E$26</formula>
      <formula>$F$26</formula>
    </cfRule>
    <cfRule type="cellIs" dxfId="116" priority="522" operator="greaterThan">
      <formula>$F$26</formula>
    </cfRule>
  </conditionalFormatting>
  <conditionalFormatting sqref="H28:K29">
    <cfRule type="cellIs" dxfId="115" priority="523" operator="lessThanOrEqual">
      <formula>$D$28</formula>
    </cfRule>
    <cfRule type="cellIs" dxfId="114" priority="524" operator="between">
      <formula>$D$28</formula>
      <formula>$E$28</formula>
    </cfRule>
    <cfRule type="cellIs" dxfId="113" priority="525" operator="between">
      <formula>$E$28</formula>
      <formula>$F$28</formula>
    </cfRule>
    <cfRule type="cellIs" dxfId="112" priority="526" operator="greaterThan">
      <formula>$F$28</formula>
    </cfRule>
  </conditionalFormatting>
  <conditionalFormatting sqref="H30:K31">
    <cfRule type="cellIs" dxfId="111" priority="527" operator="lessThanOrEqual">
      <formula>$D$30</formula>
    </cfRule>
    <cfRule type="cellIs" dxfId="110" priority="528" operator="between">
      <formula>$D$30</formula>
      <formula>$E$30</formula>
    </cfRule>
    <cfRule type="cellIs" dxfId="109" priority="529" operator="between">
      <formula>$E$30</formula>
      <formula>$F$30</formula>
    </cfRule>
    <cfRule type="cellIs" dxfId="108" priority="530" operator="greaterThan">
      <formula>$F$30</formula>
    </cfRule>
  </conditionalFormatting>
  <conditionalFormatting sqref="H32:K33">
    <cfRule type="cellIs" dxfId="107" priority="531" operator="lessThanOrEqual">
      <formula>$D$32</formula>
    </cfRule>
    <cfRule type="cellIs" dxfId="106" priority="532" operator="between">
      <formula>$D$32</formula>
      <formula>$E$32</formula>
    </cfRule>
    <cfRule type="cellIs" dxfId="105" priority="533" operator="between">
      <formula>$E$32</formula>
      <formula>$F$32</formula>
    </cfRule>
    <cfRule type="cellIs" dxfId="104" priority="534" operator="greaterThan">
      <formula>$F$32</formula>
    </cfRule>
  </conditionalFormatting>
  <conditionalFormatting sqref="H34:K35">
    <cfRule type="cellIs" dxfId="103" priority="535" operator="lessThanOrEqual">
      <formula>$D$34</formula>
    </cfRule>
    <cfRule type="cellIs" dxfId="102" priority="536" operator="between">
      <formula>$D$34</formula>
      <formula>$E$34</formula>
    </cfRule>
    <cfRule type="cellIs" dxfId="101" priority="537" operator="between">
      <formula>$E$34</formula>
      <formula>$F$34</formula>
    </cfRule>
    <cfRule type="cellIs" dxfId="100" priority="538" operator="greaterThan">
      <formula>$F$34</formula>
    </cfRule>
  </conditionalFormatting>
  <conditionalFormatting sqref="G83:I84">
    <cfRule type="cellIs" dxfId="99" priority="143" operator="lessThanOrEqual">
      <formula>0.0001</formula>
    </cfRule>
    <cfRule type="cellIs" dxfId="98" priority="144" operator="greaterThan">
      <formula>0.0001</formula>
    </cfRule>
  </conditionalFormatting>
  <conditionalFormatting sqref="R81:T82">
    <cfRule type="cellIs" dxfId="97" priority="145" operator="lessThanOrEqual">
      <formula>0.0001</formula>
    </cfRule>
    <cfRule type="cellIs" dxfId="96" priority="148" operator="greaterThan">
      <formula>0.0001</formula>
    </cfRule>
  </conditionalFormatting>
  <conditionalFormatting sqref="R40:T41">
    <cfRule type="cellIs" dxfId="95" priority="93" operator="greaterThanOrEqual">
      <formula>$Q40</formula>
    </cfRule>
    <cfRule type="cellIs" dxfId="94" priority="94" operator="lessThan">
      <formula>$Q40</formula>
    </cfRule>
  </conditionalFormatting>
  <conditionalFormatting sqref="E10:H13 E18:H21 P10:S15 D40 D83 G83:J84 O40 O50:O69 O81 R81:T82 R50:T69 R40:T41 G40:I41 G50:J69 D50:D70 D72:D77 G72:J77 R72:T73 O72:O73">
    <cfRule type="cellIs" dxfId="93" priority="36" stopIfTrue="1" operator="equal">
      <formula>0</formula>
    </cfRule>
    <cfRule type="containsBlanks" dxfId="92" priority="37" stopIfTrue="1">
      <formula>LEN(TRIM(D10))=0</formula>
    </cfRule>
    <cfRule type="cellIs" dxfId="91" priority="38" operator="lessThan">
      <formula>0.1</formula>
    </cfRule>
    <cfRule type="cellIs" dxfId="90" priority="39" operator="lessThan">
      <formula>10</formula>
    </cfRule>
    <cfRule type="cellIs" dxfId="89" priority="40" operator="greaterThanOrEqual">
      <formula>10</formula>
    </cfRule>
  </conditionalFormatting>
  <conditionalFormatting sqref="G40:I41">
    <cfRule type="cellIs" dxfId="88" priority="42" operator="greaterThanOrEqual">
      <formula>$F40</formula>
    </cfRule>
    <cfRule type="cellIs" dxfId="87" priority="43" operator="lessThan">
      <formula>$F40</formula>
    </cfRule>
  </conditionalFormatting>
  <conditionalFormatting sqref="G78:I79">
    <cfRule type="cellIs" dxfId="86" priority="34" operator="greaterThanOrEqual">
      <formula>$F78</formula>
    </cfRule>
    <cfRule type="cellIs" dxfId="85" priority="35" operator="lessThan">
      <formula>$F78</formula>
    </cfRule>
  </conditionalFormatting>
  <conditionalFormatting sqref="D78:D79 G78:J79">
    <cfRule type="cellIs" dxfId="84" priority="29" stopIfTrue="1" operator="equal">
      <formula>0</formula>
    </cfRule>
    <cfRule type="containsBlanks" dxfId="83" priority="30" stopIfTrue="1">
      <formula>LEN(TRIM(D78))=0</formula>
    </cfRule>
    <cfRule type="cellIs" dxfId="82" priority="31" operator="lessThan">
      <formula>0.1</formula>
    </cfRule>
    <cfRule type="cellIs" dxfId="81" priority="32" operator="lessThan">
      <formula>10</formula>
    </cfRule>
    <cfRule type="cellIs" dxfId="80" priority="33" operator="greaterThanOrEqual">
      <formula>10</formula>
    </cfRule>
  </conditionalFormatting>
  <conditionalFormatting sqref="O76:O77 R76:T77">
    <cfRule type="cellIs" dxfId="79" priority="15" stopIfTrue="1" operator="equal">
      <formula>0</formula>
    </cfRule>
    <cfRule type="containsBlanks" dxfId="78" priority="16" stopIfTrue="1">
      <formula>LEN(TRIM(O76))=0</formula>
    </cfRule>
    <cfRule type="cellIs" dxfId="77" priority="17" operator="lessThan">
      <formula>0.1</formula>
    </cfRule>
    <cfRule type="cellIs" dxfId="76" priority="18" operator="lessThan">
      <formula>10</formula>
    </cfRule>
    <cfRule type="cellIs" dxfId="75" priority="19" operator="greaterThanOrEqual">
      <formula>10</formula>
    </cfRule>
  </conditionalFormatting>
  <conditionalFormatting sqref="R74:T75">
    <cfRule type="cellIs" dxfId="74" priority="27" operator="greaterThanOrEqual">
      <formula>$Q74</formula>
    </cfRule>
    <cfRule type="cellIs" dxfId="73" priority="28" operator="lessThan">
      <formula>$Q74</formula>
    </cfRule>
  </conditionalFormatting>
  <conditionalFormatting sqref="O74:O75 R74:T75">
    <cfRule type="cellIs" dxfId="72" priority="22" stopIfTrue="1" operator="equal">
      <formula>0</formula>
    </cfRule>
    <cfRule type="containsBlanks" dxfId="71" priority="23" stopIfTrue="1">
      <formula>LEN(TRIM(O74))=0</formula>
    </cfRule>
    <cfRule type="cellIs" dxfId="70" priority="24" operator="lessThan">
      <formula>0.1</formula>
    </cfRule>
    <cfRule type="cellIs" dxfId="69" priority="25" operator="lessThan">
      <formula>10</formula>
    </cfRule>
    <cfRule type="cellIs" dxfId="68" priority="26" operator="greaterThanOrEqual">
      <formula>10</formula>
    </cfRule>
  </conditionalFormatting>
  <conditionalFormatting sqref="R76:T77">
    <cfRule type="cellIs" dxfId="67" priority="20" operator="greaterThanOrEqual">
      <formula>$Q76</formula>
    </cfRule>
    <cfRule type="cellIs" dxfId="66" priority="21" operator="lessThan">
      <formula>$Q76</formula>
    </cfRule>
  </conditionalFormatting>
  <conditionalFormatting sqref="G70:I71">
    <cfRule type="cellIs" dxfId="65" priority="13" operator="greaterThanOrEqual">
      <formula>$F70</formula>
    </cfRule>
    <cfRule type="cellIs" dxfId="64" priority="14" operator="lessThan">
      <formula>$F70</formula>
    </cfRule>
  </conditionalFormatting>
  <conditionalFormatting sqref="G70:J71">
    <cfRule type="cellIs" dxfId="63" priority="8" stopIfTrue="1" operator="equal">
      <formula>0</formula>
    </cfRule>
    <cfRule type="containsBlanks" dxfId="62" priority="9" stopIfTrue="1">
      <formula>LEN(TRIM(G70))=0</formula>
    </cfRule>
    <cfRule type="cellIs" dxfId="61" priority="10" operator="lessThan">
      <formula>0.1</formula>
    </cfRule>
    <cfRule type="cellIs" dxfId="60" priority="11" operator="lessThan">
      <formula>10</formula>
    </cfRule>
    <cfRule type="cellIs" dxfId="59" priority="12" operator="greaterThanOrEqual">
      <formula>10</formula>
    </cfRule>
  </conditionalFormatting>
  <conditionalFormatting sqref="R70:T71">
    <cfRule type="cellIs" dxfId="58" priority="6" operator="greaterThanOrEqual">
      <formula>$Q70</formula>
    </cfRule>
    <cfRule type="cellIs" dxfId="57" priority="7" operator="lessThan">
      <formula>$Q70</formula>
    </cfRule>
  </conditionalFormatting>
  <conditionalFormatting sqref="O70:O71 R70:T71">
    <cfRule type="cellIs" dxfId="56" priority="1" stopIfTrue="1" operator="equal">
      <formula>0</formula>
    </cfRule>
    <cfRule type="containsBlanks" dxfId="55" priority="2" stopIfTrue="1">
      <formula>LEN(TRIM(O70))=0</formula>
    </cfRule>
    <cfRule type="cellIs" dxfId="54" priority="3" operator="lessThan">
      <formula>0.1</formula>
    </cfRule>
    <cfRule type="cellIs" dxfId="53" priority="4" operator="lessThan">
      <formula>10</formula>
    </cfRule>
    <cfRule type="cellIs" dxfId="52" priority="5" operator="greaterThanOrEqual">
      <formula>10</formula>
    </cfRule>
  </conditionalFormatting>
  <dataValidations count="1">
    <dataValidation allowBlank="1" showErrorMessage="1" sqref="E8:E9 C8 C12:C13 P8:P9 N8 E16:H17" xr:uid="{00000000-0002-0000-0200-000005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46CCA94B-A42C-4590-AAD0-DFED1ED72EDA}">
          <x14:formula1>
            <xm:f>'List Values'!$D$2:$D$3</xm:f>
          </x14:formula1>
          <xm:sqref>D4</xm:sqref>
        </x14:dataValidation>
        <x14:dataValidation type="list" allowBlank="1" showInputMessage="1" showErrorMessage="1" xr:uid="{B0688B23-6125-49FA-9B9F-BE3A00B4E2DD}">
          <x14:formula1>
            <xm:f>'List Values'!$D$14:$D$18</xm:f>
          </x14:formula1>
          <xm:sqref>J4</xm:sqref>
        </x14:dataValidation>
        <x14:dataValidation type="list" allowBlank="1" showInputMessage="1" showErrorMessage="1" xr:uid="{44E4887F-EC09-4DD3-A7BB-3FED90528BBA}">
          <x14:formula1>
            <xm:f>'List Values'!$D$21:$D$23</xm:f>
          </x14:formula1>
          <xm:sqref>K4</xm:sqref>
        </x14:dataValidation>
        <x14:dataValidation type="list" allowBlank="1" showInputMessage="1" showErrorMessage="1" xr:uid="{218A20B7-BC7C-42A4-B27A-85CC755668B2}">
          <x14:formula1>
            <xm:f>'List Values'!$D$6:$D$7</xm:f>
          </x14:formula1>
          <xm:sqref>N4</xm:sqref>
        </x14:dataValidation>
        <x14:dataValidation type="list" allowBlank="1" showInputMessage="1" showErrorMessage="1" xr:uid="{7A257FB3-03C7-4DEF-9441-F0399894DF14}">
          <x14:formula1>
            <xm:f>'List Values'!$B$2:$B$39</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AD8A6-1677-465E-88B2-1343E7284108}">
  <sheetPr codeName="Sheet3">
    <tabColor rgb="FF92D050"/>
  </sheetPr>
  <dimension ref="A1:Y87"/>
  <sheetViews>
    <sheetView topLeftCell="A22" zoomScale="70" zoomScaleNormal="70" workbookViewId="0">
      <selection activeCell="N6" sqref="N6"/>
    </sheetView>
  </sheetViews>
  <sheetFormatPr defaultColWidth="8.81640625" defaultRowHeight="13" x14ac:dyDescent="0.35"/>
  <cols>
    <col min="1" max="1" width="2.1796875" style="82" customWidth="1"/>
    <col min="2" max="2" width="8.453125" style="83" hidden="1" customWidth="1"/>
    <col min="3" max="3" width="13.81640625" style="55" customWidth="1"/>
    <col min="4" max="4" width="22.1796875" style="84" customWidth="1"/>
    <col min="5" max="5" width="26.54296875" style="55" customWidth="1"/>
    <col min="6" max="6" width="18.54296875" style="55" customWidth="1"/>
    <col min="7" max="7" width="2.7265625" style="82" customWidth="1"/>
    <col min="8" max="8" width="21.7265625" style="82" customWidth="1"/>
    <col min="9" max="9" width="15.81640625" style="82" customWidth="1"/>
    <col min="10" max="10" width="20" style="82" customWidth="1"/>
    <col min="11" max="11" width="13.81640625" style="82" customWidth="1"/>
    <col min="12" max="12" width="15.7265625" style="82" customWidth="1"/>
    <col min="13" max="13" width="14.54296875" style="82" customWidth="1"/>
    <col min="14" max="14" width="13.1796875" style="82" customWidth="1"/>
    <col min="15" max="15" width="16" style="82" customWidth="1"/>
    <col min="16" max="16" width="17.81640625" style="82" customWidth="1"/>
    <col min="17" max="17" width="5" style="82" customWidth="1"/>
    <col min="18" max="18" width="24.453125" style="82" customWidth="1"/>
    <col min="19" max="19" width="18.1796875" style="82" customWidth="1"/>
    <col min="20" max="20" width="21.26953125" style="82" customWidth="1"/>
    <col min="21" max="21" width="17.1796875" style="82" customWidth="1"/>
    <col min="22" max="22" width="17.54296875" style="82" customWidth="1"/>
    <col min="23" max="23" width="16.7265625" style="82" customWidth="1"/>
    <col min="24" max="24" width="17" style="82" customWidth="1"/>
    <col min="25" max="25" width="13.26953125" style="82" customWidth="1"/>
    <col min="26" max="16384" width="8.81640625" style="82"/>
  </cols>
  <sheetData>
    <row r="1" spans="1:23" ht="13.5" thickBot="1" x14ac:dyDescent="0.4"/>
    <row r="2" spans="1:23" s="29" customFormat="1" ht="13.5" customHeight="1" thickBot="1" x14ac:dyDescent="0.4">
      <c r="B2" s="30"/>
      <c r="C2" s="52"/>
      <c r="D2" s="52"/>
      <c r="E2" s="52"/>
      <c r="F2" s="52"/>
      <c r="H2" s="85" t="s">
        <v>0</v>
      </c>
      <c r="I2" s="603" t="s">
        <v>1</v>
      </c>
      <c r="J2" s="604"/>
      <c r="K2" s="605"/>
      <c r="L2" s="86"/>
      <c r="N2" s="86"/>
      <c r="R2" s="410" t="s">
        <v>3</v>
      </c>
      <c r="S2" s="2"/>
    </row>
    <row r="3" spans="1:23" s="29" customFormat="1" ht="26" x14ac:dyDescent="0.35">
      <c r="B3" s="30"/>
      <c r="C3" s="52"/>
      <c r="D3" s="52"/>
      <c r="E3" s="52"/>
      <c r="F3" s="52"/>
      <c r="H3" s="87" t="s">
        <v>4</v>
      </c>
      <c r="I3" s="88" t="s">
        <v>5</v>
      </c>
      <c r="J3" s="608" t="s">
        <v>135</v>
      </c>
      <c r="K3" s="609"/>
      <c r="L3" s="68"/>
      <c r="R3" s="411" t="s">
        <v>8</v>
      </c>
      <c r="S3" s="2"/>
    </row>
    <row r="4" spans="1:23" s="29" customFormat="1" ht="39" x14ac:dyDescent="0.35">
      <c r="B4" s="30"/>
      <c r="C4" s="52"/>
      <c r="D4" s="52"/>
      <c r="E4" s="52"/>
      <c r="F4" s="52"/>
      <c r="H4" s="467" t="s">
        <v>258</v>
      </c>
      <c r="I4" s="468" t="s">
        <v>10</v>
      </c>
      <c r="J4" s="610" t="s">
        <v>31</v>
      </c>
      <c r="K4" s="611"/>
      <c r="L4"/>
      <c r="R4" s="469" t="s">
        <v>11</v>
      </c>
      <c r="S4" s="2"/>
    </row>
    <row r="5" spans="1:23" s="29" customFormat="1" x14ac:dyDescent="0.35">
      <c r="A5" s="89"/>
      <c r="B5" s="30"/>
      <c r="C5" s="52"/>
      <c r="D5" s="52"/>
      <c r="E5" s="52"/>
      <c r="F5" s="52"/>
      <c r="J5" s="52"/>
      <c r="K5" s="52"/>
      <c r="L5" s="52"/>
      <c r="M5" s="90"/>
      <c r="N5" s="90"/>
      <c r="R5" s="55"/>
      <c r="S5" s="52"/>
      <c r="T5" s="91"/>
    </row>
    <row r="6" spans="1:23" s="29" customFormat="1" x14ac:dyDescent="0.35">
      <c r="B6" s="30"/>
      <c r="C6" s="52"/>
      <c r="D6" s="52"/>
      <c r="E6" s="52"/>
      <c r="F6" s="52"/>
      <c r="H6" s="91" t="s">
        <v>136</v>
      </c>
      <c r="I6" s="30"/>
      <c r="K6" s="52"/>
      <c r="L6" s="52"/>
      <c r="R6" s="91" t="s">
        <v>3</v>
      </c>
      <c r="S6" s="82"/>
      <c r="T6" s="82"/>
      <c r="U6" s="55"/>
      <c r="V6" s="52"/>
    </row>
    <row r="7" spans="1:23" ht="13.5" thickBot="1" x14ac:dyDescent="0.4">
      <c r="H7" s="92" t="s">
        <v>13</v>
      </c>
      <c r="I7" s="83"/>
      <c r="M7" s="52"/>
      <c r="N7" s="52"/>
      <c r="R7" s="92" t="s">
        <v>13</v>
      </c>
      <c r="U7" s="55"/>
      <c r="V7" s="52"/>
    </row>
    <row r="8" spans="1:23" ht="39" x14ac:dyDescent="0.35">
      <c r="H8" s="560" t="s">
        <v>14</v>
      </c>
      <c r="I8" s="562" t="s">
        <v>15</v>
      </c>
      <c r="J8" s="483" t="s">
        <v>16</v>
      </c>
      <c r="K8" s="483" t="s">
        <v>17</v>
      </c>
      <c r="L8" s="483" t="s">
        <v>18</v>
      </c>
      <c r="M8" s="71" t="s">
        <v>19</v>
      </c>
      <c r="R8" s="560" t="s">
        <v>14</v>
      </c>
      <c r="S8" s="562" t="s">
        <v>15</v>
      </c>
      <c r="T8" s="483" t="s">
        <v>20</v>
      </c>
      <c r="U8" s="483" t="s">
        <v>21</v>
      </c>
      <c r="V8" s="483" t="s">
        <v>22</v>
      </c>
      <c r="W8" s="71" t="s">
        <v>23</v>
      </c>
    </row>
    <row r="9" spans="1:23" ht="28.5" thickBot="1" x14ac:dyDescent="0.4">
      <c r="H9" s="561"/>
      <c r="I9" s="563"/>
      <c r="J9" s="484" t="s">
        <v>137</v>
      </c>
      <c r="K9" s="484" t="s">
        <v>25</v>
      </c>
      <c r="L9" s="484" t="s">
        <v>26</v>
      </c>
      <c r="M9" s="123" t="s">
        <v>138</v>
      </c>
      <c r="N9" s="68"/>
      <c r="R9" s="561"/>
      <c r="S9" s="563"/>
      <c r="T9" s="484" t="s">
        <v>28</v>
      </c>
      <c r="U9" s="484" t="s">
        <v>29</v>
      </c>
      <c r="V9" s="484" t="s">
        <v>139</v>
      </c>
      <c r="W9" s="123" t="s">
        <v>139</v>
      </c>
    </row>
    <row r="10" spans="1:23" x14ac:dyDescent="0.35">
      <c r="H10" s="488" t="s">
        <v>31</v>
      </c>
      <c r="I10" s="549" t="s">
        <v>32</v>
      </c>
      <c r="J10" s="224">
        <f>SUMIFS('Inhalation Exposure'!$H:$H,'Inhalation Exposure'!$C:$C,$H$4,'Inhalation Exposure'!$D:$D,$H10,'Inhalation Exposure'!$Z:$Z,$I$4)</f>
        <v>2.6617249999999997</v>
      </c>
      <c r="K10" s="224">
        <f>SUMIFS('Inhalation Exposure'!$P:$P,'Inhalation Exposure'!$C:$C,$H$4,'Inhalation Exposure'!$D:$D,$H10,'Inhalation Exposure'!$Z:$Z,$I$4)</f>
        <v>0.8872416666666666</v>
      </c>
      <c r="L10" s="224">
        <f>SUMIFS('Inhalation Exposure'!$R:$R,'Inhalation Exposure'!$C:$C,$H$4,'Inhalation Exposure'!$D:$D,$H10,'Inhalation Exposure'!$Z:$Z,$I$4)</f>
        <v>0.60769977168949751</v>
      </c>
      <c r="M10" s="227">
        <f>SUMIFS('Inhalation Exposure'!$T:$T,'Inhalation Exposure'!$C:$C,$H$4,'Inhalation Exposure'!$D:$D,$H10,'Inhalation Exposure'!$Z:$Z,$I$4)</f>
        <v>0.31164090855871668</v>
      </c>
      <c r="N10" s="134"/>
      <c r="R10" s="564" t="s">
        <v>33</v>
      </c>
      <c r="S10" s="97" t="s">
        <v>32</v>
      </c>
      <c r="T10" s="307">
        <f>'Dermal Exposure'!N10</f>
        <v>282.52254794345549</v>
      </c>
      <c r="U10" s="307">
        <f>'Dermal Exposure'!O10</f>
        <v>3.5315318492931937</v>
      </c>
      <c r="V10" s="307">
        <f>'Dermal Exposure'!P10</f>
        <v>2.4188574310227358</v>
      </c>
      <c r="W10" s="307">
        <f>'Dermal Exposure'!Q10</f>
        <v>1.2404397082167875</v>
      </c>
    </row>
    <row r="11" spans="1:23" ht="13.5" thickBot="1" x14ac:dyDescent="0.4">
      <c r="H11" s="489" t="s">
        <v>34</v>
      </c>
      <c r="I11" s="550"/>
      <c r="J11" s="225">
        <f>SUMIFS('Inhalation Exposure'!$H:$H,'Inhalation Exposure'!$C:$C,$H$4,'Inhalation Exposure'!$D:$D,$H11,'Inhalation Exposure'!$Z:$Z,$I$4)</f>
        <v>9.1749999999999998E-2</v>
      </c>
      <c r="K11" s="225">
        <f>SUMIFS('Inhalation Exposure'!$P:$P,'Inhalation Exposure'!$C:$C,$H$4,'Inhalation Exposure'!$D:$D,$H11,'Inhalation Exposure'!$Z:$Z,$I$4)</f>
        <v>3.0583333333333334E-2</v>
      </c>
      <c r="L11" s="225">
        <f>SUMIFS('Inhalation Exposure'!$R:$R,'Inhalation Exposure'!$C:$C,$H$4,'Inhalation Exposure'!$D:$D,$H11,'Inhalation Exposure'!$Z:$Z,$I$4)</f>
        <v>2.0947488584474885E-2</v>
      </c>
      <c r="M11" s="230">
        <f>SUMIFS('Inhalation Exposure'!$T:$T,'Inhalation Exposure'!$C:$C,$H$4,'Inhalation Exposure'!$D:$D,$H11,'Inhalation Exposure'!$Z:$Z,$I$4)</f>
        <v>1.0742301838192249E-2</v>
      </c>
      <c r="N11" s="134"/>
      <c r="R11" s="565"/>
      <c r="S11" s="108" t="s">
        <v>35</v>
      </c>
      <c r="T11" s="287">
        <f>'Dermal Exposure'!N11</f>
        <v>94.174182647818483</v>
      </c>
      <c r="U11" s="287">
        <f>'Dermal Exposure'!O11</f>
        <v>1.177177283097731</v>
      </c>
      <c r="V11" s="287">
        <f>'Dermal Exposure'!P11</f>
        <v>0.80628581034091162</v>
      </c>
      <c r="W11" s="288">
        <f>'Dermal Exposure'!Q11</f>
        <v>0.32044692462266999</v>
      </c>
    </row>
    <row r="12" spans="1:23" ht="12.75" customHeight="1" x14ac:dyDescent="0.35">
      <c r="H12" s="63" t="s">
        <v>31</v>
      </c>
      <c r="I12" s="606" t="s">
        <v>35</v>
      </c>
      <c r="J12" s="224">
        <f>SUMIFS('Inhalation Exposure'!$I:$I,'Inhalation Exposure'!$C:$C,$H$4,'Inhalation Exposure'!$D:$D,$H12,'Inhalation Exposure'!$Z:$Z,$I$4)</f>
        <v>3.2500000000000001E-2</v>
      </c>
      <c r="K12" s="224">
        <f>SUMIFS('Inhalation Exposure'!$Q:$Q,'Inhalation Exposure'!$C:$C,$H$4,'Inhalation Exposure'!$D:$D,$H12,'Inhalation Exposure'!$Z:$Z,$I$4)</f>
        <v>1.0833333333333334E-2</v>
      </c>
      <c r="L12" s="224">
        <f>SUMIFS('Inhalation Exposure'!$S:$S,'Inhalation Exposure'!$C:$C,$H$4,'Inhalation Exposure'!$D:$D,$H12,'Inhalation Exposure'!$Z:$Z,$I$4)</f>
        <v>7.4200913242009128E-3</v>
      </c>
      <c r="M12" s="227">
        <f>SUMIFS('Inhalation Exposure'!$U:$U,'Inhalation Exposure'!$C:$C,$H$4,'Inhalation Exposure'!$D:$D,$H12,'Inhalation Exposure'!$Z:$Z,$I$4)</f>
        <v>2.9490106544901064E-3</v>
      </c>
      <c r="N12" s="134"/>
      <c r="R12" s="566" t="str">
        <f>_xlfn.CONCAT("Worker with Gloves; PF = 
",'List Values'!D21)</f>
        <v>Worker with Gloves; PF = 
5</v>
      </c>
      <c r="S12" s="108" t="s">
        <v>32</v>
      </c>
      <c r="T12" s="287">
        <f>T10/'List Values'!$D$21</f>
        <v>56.5045095886911</v>
      </c>
      <c r="U12" s="287">
        <f>U10/'List Values'!$D$21</f>
        <v>0.70630636985863871</v>
      </c>
      <c r="V12" s="287">
        <f>V10/'List Values'!$D$21</f>
        <v>0.48377148620454713</v>
      </c>
      <c r="W12" s="288">
        <f>W10/'List Values'!$D$21</f>
        <v>0.24808794164335751</v>
      </c>
    </row>
    <row r="13" spans="1:23" ht="13.5" thickBot="1" x14ac:dyDescent="0.4">
      <c r="H13" s="489" t="s">
        <v>34</v>
      </c>
      <c r="I13" s="607"/>
      <c r="J13" s="228">
        <f>SUMIFS('Inhalation Exposure'!$I:$I,'Inhalation Exposure'!$C:$C,$H$4,'Inhalation Exposure'!$D:$D,$H13,'Inhalation Exposure'!$Z:$Z,$I$4)</f>
        <v>3.3941125496954279E-2</v>
      </c>
      <c r="K13" s="228">
        <f>SUMIFS('Inhalation Exposure'!$Q:$Q,'Inhalation Exposure'!$C:$C,$H$4,'Inhalation Exposure'!$D:$D,$H13,'Inhalation Exposure'!$Z:$Z,$I$4)</f>
        <v>1.131370849898476E-2</v>
      </c>
      <c r="L13" s="228">
        <f>SUMIFS('Inhalation Exposure'!$S:$S,'Inhalation Exposure'!$C:$C,$H$4,'Inhalation Exposure'!$D:$D,$H13,'Inhalation Exposure'!$Z:$Z,$I$4)</f>
        <v>7.7491154102635332E-3</v>
      </c>
      <c r="M13" s="229">
        <f>SUMIFS('Inhalation Exposure'!$U:$U,'Inhalation Exposure'!$C:$C,$H$4,'Inhalation Exposure'!$D:$D,$H13,'Inhalation Exposure'!$Z:$Z,$I$4)</f>
        <v>3.0797766374124299E-3</v>
      </c>
      <c r="N13" s="134"/>
      <c r="R13" s="615"/>
      <c r="S13" s="108" t="s">
        <v>35</v>
      </c>
      <c r="T13" s="287">
        <f>T11/'List Values'!$D$21</f>
        <v>18.834836529563695</v>
      </c>
      <c r="U13" s="287">
        <f>U11/'List Values'!$D$21</f>
        <v>0.23543545661954618</v>
      </c>
      <c r="V13" s="287">
        <f>V11/'List Values'!$D$21</f>
        <v>0.16125716206818233</v>
      </c>
      <c r="W13" s="288">
        <f>W11/'List Values'!$D$21</f>
        <v>6.4089384924534004E-2</v>
      </c>
    </row>
    <row r="14" spans="1:23" x14ac:dyDescent="0.35">
      <c r="R14" s="566" t="str">
        <f>_xlfn.CONCAT("Worker with Gloves; PF = 
",'List Values'!D22)</f>
        <v>Worker with Gloves; PF = 
10</v>
      </c>
      <c r="S14" s="108" t="s">
        <v>32</v>
      </c>
      <c r="T14" s="287">
        <f>T10/'List Values'!$D$22</f>
        <v>28.25225479434555</v>
      </c>
      <c r="U14" s="287">
        <f>U10/'List Values'!$D$22</f>
        <v>0.35315318492931935</v>
      </c>
      <c r="V14" s="287">
        <f>V10/'List Values'!$D$22</f>
        <v>0.24188574310227356</v>
      </c>
      <c r="W14" s="288">
        <f>W10/'List Values'!$D$22</f>
        <v>0.12404397082167876</v>
      </c>
    </row>
    <row r="15" spans="1:23" x14ac:dyDescent="0.35">
      <c r="D15" s="55"/>
      <c r="H15" s="83"/>
      <c r="R15" s="615"/>
      <c r="S15" s="108" t="s">
        <v>35</v>
      </c>
      <c r="T15" s="287">
        <f>T11/'List Values'!$D$22</f>
        <v>9.4174182647818476</v>
      </c>
      <c r="U15" s="287">
        <f>U11/'List Values'!$D$22</f>
        <v>0.11771772830977309</v>
      </c>
      <c r="V15" s="287">
        <f>V11/'List Values'!$D$22</f>
        <v>8.0628581034091165E-2</v>
      </c>
      <c r="W15" s="288">
        <f>W11/'List Values'!$D$22</f>
        <v>3.2044692462267002E-2</v>
      </c>
    </row>
    <row r="16" spans="1:23" ht="12.75" customHeight="1" x14ac:dyDescent="0.35">
      <c r="D16" s="55"/>
      <c r="H16" s="83"/>
      <c r="R16" s="566" t="str">
        <f>_xlfn.CONCAT("Worker with Gloves; PF = 
",'List Values'!D23)</f>
        <v>Worker with Gloves; PF = 
20</v>
      </c>
      <c r="S16" s="108" t="s">
        <v>32</v>
      </c>
      <c r="T16" s="287">
        <f>T10/'List Values'!$D$23</f>
        <v>14.126127397172775</v>
      </c>
      <c r="U16" s="287">
        <f>U10/'List Values'!$D$23</f>
        <v>0.17657659246465968</v>
      </c>
      <c r="V16" s="287">
        <f>V10/'List Values'!$D$23</f>
        <v>0.12094287155113678</v>
      </c>
      <c r="W16" s="288">
        <f>W10/'List Values'!$D$23</f>
        <v>6.2021985410839378E-2</v>
      </c>
    </row>
    <row r="17" spans="1:25" x14ac:dyDescent="0.35">
      <c r="D17" s="55"/>
      <c r="H17" s="83"/>
      <c r="N17" s="231"/>
      <c r="R17" s="615"/>
      <c r="S17" s="108" t="s">
        <v>35</v>
      </c>
      <c r="T17" s="287">
        <f>T11/'List Values'!$D$23</f>
        <v>4.7087091323909238</v>
      </c>
      <c r="U17" s="287">
        <f>U11/'List Values'!$D$23</f>
        <v>5.8858864154886545E-2</v>
      </c>
      <c r="V17" s="287">
        <f>V11/'List Values'!$D$23</f>
        <v>4.0314290517045583E-2</v>
      </c>
      <c r="W17" s="288">
        <f>W11/'List Values'!$D$23</f>
        <v>1.6022346231133501E-2</v>
      </c>
    </row>
    <row r="18" spans="1:25" ht="12.75" customHeight="1" x14ac:dyDescent="0.35">
      <c r="D18" s="55"/>
      <c r="H18" s="83"/>
      <c r="R18" s="616" t="s">
        <v>36</v>
      </c>
      <c r="S18" s="108" t="s">
        <v>32</v>
      </c>
      <c r="T18" s="287" t="str">
        <f>'Dermal Exposure'!N12</f>
        <v>Not Assessed</v>
      </c>
      <c r="U18" s="287" t="str">
        <f>'Dermal Exposure'!O12</f>
        <v>Not Assessed</v>
      </c>
      <c r="V18" s="287" t="str">
        <f>'Dermal Exposure'!P12</f>
        <v>Not Assessed</v>
      </c>
      <c r="W18" s="288" t="str">
        <f>'Dermal Exposure'!Q12</f>
        <v>Not Assessed</v>
      </c>
    </row>
    <row r="19" spans="1:25" ht="13.5" thickBot="1" x14ac:dyDescent="0.4">
      <c r="D19" s="55"/>
      <c r="H19" s="83"/>
      <c r="R19" s="617"/>
      <c r="S19" s="96" t="s">
        <v>35</v>
      </c>
      <c r="T19" s="289" t="str">
        <f>'Dermal Exposure'!N13</f>
        <v>Not Assessed</v>
      </c>
      <c r="U19" s="289" t="str">
        <f>'Dermal Exposure'!O13</f>
        <v>Not Assessed</v>
      </c>
      <c r="V19" s="289" t="str">
        <f>'Dermal Exposure'!P13</f>
        <v>Not Assessed</v>
      </c>
      <c r="W19" s="290" t="str">
        <f>'Dermal Exposure'!Q13</f>
        <v>Not Assessed</v>
      </c>
    </row>
    <row r="20" spans="1:25" s="29" customFormat="1" x14ac:dyDescent="0.35">
      <c r="B20" s="30"/>
      <c r="C20" s="72"/>
      <c r="D20" s="72"/>
      <c r="E20" s="72"/>
      <c r="F20" s="72"/>
      <c r="G20" s="72"/>
      <c r="H20" s="236"/>
      <c r="I20" s="52"/>
      <c r="K20" s="236"/>
      <c r="L20" s="236"/>
      <c r="M20" s="236"/>
      <c r="N20" s="236"/>
      <c r="O20" s="236"/>
      <c r="P20" s="236"/>
      <c r="R20" s="72"/>
      <c r="S20" s="236"/>
      <c r="T20" s="52"/>
      <c r="V20" s="236"/>
    </row>
    <row r="21" spans="1:25" s="29" customFormat="1" ht="13.5" thickBot="1" x14ac:dyDescent="0.4">
      <c r="B21" s="30"/>
      <c r="C21" s="52"/>
      <c r="D21" s="54"/>
      <c r="E21" s="54"/>
      <c r="F21" s="54"/>
      <c r="G21" s="93"/>
      <c r="H21" s="93" t="s">
        <v>140</v>
      </c>
      <c r="I21" s="52"/>
      <c r="K21" s="236"/>
      <c r="L21" s="602"/>
      <c r="M21" s="602"/>
      <c r="N21" s="493"/>
      <c r="O21" s="493"/>
      <c r="R21" s="292" t="s">
        <v>141</v>
      </c>
      <c r="S21" s="292"/>
      <c r="T21" s="292"/>
    </row>
    <row r="22" spans="1:25" s="29" customFormat="1" ht="12.75" customHeight="1" x14ac:dyDescent="0.35">
      <c r="B22" s="30"/>
      <c r="C22" s="642" t="s">
        <v>142</v>
      </c>
      <c r="D22" s="642" t="s">
        <v>143</v>
      </c>
      <c r="E22" s="642"/>
      <c r="F22" s="642" t="s">
        <v>144</v>
      </c>
      <c r="G22" s="75"/>
      <c r="H22" s="592" t="s">
        <v>69</v>
      </c>
      <c r="I22" s="612" t="s">
        <v>15</v>
      </c>
      <c r="J22" s="559" t="s">
        <v>70</v>
      </c>
      <c r="K22" s="559" t="str">
        <f>_xlfn.CONCAT("Exposure Estimates: ",$J$4," MOE")</f>
        <v>Exposure Estimates: Worker MOE</v>
      </c>
      <c r="L22" s="613"/>
      <c r="M22" s="613"/>
      <c r="N22" s="613"/>
      <c r="O22" s="613"/>
      <c r="P22" s="614"/>
      <c r="R22" s="530" t="s">
        <v>84</v>
      </c>
      <c r="S22" s="553" t="s">
        <v>15</v>
      </c>
      <c r="T22" s="555" t="s">
        <v>70</v>
      </c>
      <c r="U22" s="555" t="str">
        <f>_xlfn.CONCAT("Exposure Estimates: ",$K$4," MOE")</f>
        <v>Exposure Estimates:  MOE</v>
      </c>
      <c r="V22" s="600"/>
      <c r="W22" s="600"/>
      <c r="X22" s="600"/>
      <c r="Y22" s="601"/>
    </row>
    <row r="23" spans="1:25" s="29" customFormat="1" ht="13.5" thickBot="1" x14ac:dyDescent="0.4">
      <c r="B23" s="30"/>
      <c r="C23" s="643"/>
      <c r="D23" s="644"/>
      <c r="E23" s="644"/>
      <c r="F23" s="643"/>
      <c r="G23" s="76"/>
      <c r="H23" s="557"/>
      <c r="I23" s="554"/>
      <c r="J23" s="556"/>
      <c r="K23" s="484" t="s">
        <v>145</v>
      </c>
      <c r="L23" s="484" t="s">
        <v>146</v>
      </c>
      <c r="M23" s="484" t="s">
        <v>147</v>
      </c>
      <c r="N23" s="484" t="s">
        <v>148</v>
      </c>
      <c r="O23" s="484" t="s">
        <v>149</v>
      </c>
      <c r="P23" s="123" t="s">
        <v>150</v>
      </c>
      <c r="R23" s="557"/>
      <c r="S23" s="554"/>
      <c r="T23" s="556"/>
      <c r="U23" s="412" t="s">
        <v>151</v>
      </c>
      <c r="V23" s="412" t="s">
        <v>119</v>
      </c>
      <c r="W23" s="412" t="s">
        <v>152</v>
      </c>
      <c r="X23" s="412" t="s">
        <v>153</v>
      </c>
      <c r="Y23" s="413" t="s">
        <v>154</v>
      </c>
    </row>
    <row r="24" spans="1:25" s="29" customFormat="1" x14ac:dyDescent="0.35">
      <c r="B24" s="52" t="str">
        <f>IFERROR(IF(VLOOKUP(VLOOKUP($H$4&amp;$I$4,'List Values'!$N$2:$O$62,2,FALSE),'Inhalation Exposure'!$B$5:$Z$65,4,FALSE)="8-hr","Tox21",IF(VLOOKUP(VLOOKUP($H$4&amp;$I$4,'List Values'!$N$2:$O$62,2,FALSE),'Inhalation Exposure'!$B$5:$Z$65,4,FALSE)="12-hr","Tox22","N/A")),"Tox21")</f>
        <v>Tox21</v>
      </c>
      <c r="C24" s="618" t="s">
        <v>155</v>
      </c>
      <c r="D24" s="625" t="s">
        <v>156</v>
      </c>
      <c r="E24" s="621" t="s">
        <v>157</v>
      </c>
      <c r="F24" s="645" t="s">
        <v>158</v>
      </c>
      <c r="G24" s="161"/>
      <c r="H24" s="631">
        <f>VLOOKUP($B24,'Hazard Values'!$G$15:$N$34,3,FALSE)</f>
        <v>5</v>
      </c>
      <c r="I24" s="95" t="s">
        <v>32</v>
      </c>
      <c r="J24" s="233">
        <f>VLOOKUP($B24, 'Hazard Values'!$G$6:$M$34, 6,FALSE )</f>
        <v>10</v>
      </c>
      <c r="K24" s="64">
        <f>IFERROR($H24/IF($J$4="Worker",$J$10,$J$11), "")</f>
        <v>1.8784810602147106</v>
      </c>
      <c r="L24" s="64">
        <f>IFERROR($H24/(IF($J$4="Worker",$J$10,$J$11)/'List Values'!$D$14), "")</f>
        <v>18.784810602147104</v>
      </c>
      <c r="M24" s="64">
        <f>IFERROR($H24/(IF($J$4="Worker",$J$10,$J$11)/'List Values'!$D$15), "")</f>
        <v>46.962026505367767</v>
      </c>
      <c r="N24" s="64">
        <f>IFERROR($H24/(IF($J$4="Worker",$J$10,$J$11)/'List Values'!$D$16), "")</f>
        <v>93.924053010735534</v>
      </c>
      <c r="O24" s="64">
        <f>IFERROR($H24/(IF($J$4="Worker",$J$10,$J$11)/'List Values'!$D$17), "")</f>
        <v>1878.4810602147106</v>
      </c>
      <c r="P24" s="74">
        <f>IFERROR($H24/(IF($J$4="Worker",$J$10,$J$11)/'List Values'!$D$18), "")</f>
        <v>18784.810602147107</v>
      </c>
      <c r="R24" s="593">
        <f>IF(VLOOKUP($B24,'Hazard Values'!$G$15:$N$34,4,FALSE)=0,"No HED value for this endpoint",VLOOKUP($B24,'Hazard Values'!$G$15:$N$34,4,FALSE))</f>
        <v>4.25</v>
      </c>
      <c r="S24" s="95" t="s">
        <v>32</v>
      </c>
      <c r="T24" s="233">
        <f>VLOOKUP($B24, 'Hazard Values'!$G$6:$M$34, 6,FALSE )</f>
        <v>10</v>
      </c>
      <c r="U24" s="64" t="str">
        <f>IFERROR($R24/U$18, "")</f>
        <v/>
      </c>
      <c r="V24" s="64">
        <f>IFERROR($R24/U$10, "")</f>
        <v>1.2034437692670397</v>
      </c>
      <c r="W24" s="64">
        <f>IFERROR($R24/U$12, "")</f>
        <v>6.0172188463351981</v>
      </c>
      <c r="X24" s="64">
        <f>IFERROR($R24/U$14, "")</f>
        <v>12.034437692670396</v>
      </c>
      <c r="Y24" s="74">
        <f>IFERROR($R24/U$16, "")</f>
        <v>24.068875385340792</v>
      </c>
    </row>
    <row r="25" spans="1:25" s="29" customFormat="1" ht="15.75" customHeight="1" thickBot="1" x14ac:dyDescent="0.4">
      <c r="B25" s="52" t="str">
        <f>IFERROR(IF(VLOOKUP(VLOOKUP($H$4&amp;$I$4,'List Values'!$N$2:$O$62,2,FALSE),'Inhalation Exposure'!$B$5:$Z$65,4,FALSE)="8-hr","Tox21",IF(VLOOKUP(VLOOKUP($H$4&amp;$I$4,'List Values'!$N$2:$O$62,2,FALSE),'Inhalation Exposure'!$B$5:$Z$65,4,FALSE)="12-hr","Tox22","N/A")),"Tox21")</f>
        <v>Tox21</v>
      </c>
      <c r="C25" s="620"/>
      <c r="D25" s="629"/>
      <c r="E25" s="624"/>
      <c r="F25" s="637"/>
      <c r="G25" s="98"/>
      <c r="H25" s="632"/>
      <c r="I25" s="96" t="s">
        <v>80</v>
      </c>
      <c r="J25" s="167">
        <f>VLOOKUP($B25, 'Hazard Values'!$G$6:$M$34, 6,FALSE )</f>
        <v>10</v>
      </c>
      <c r="K25" s="51">
        <f>IFERROR($H24/IF($J$4="Worker",$J$12,$J$13), "")</f>
        <v>153.84615384615384</v>
      </c>
      <c r="L25" s="51">
        <f>IFERROR($H24/(IF($J$4="Worker",$J$12,$J$13)/('List Values'!$D$14)), "")</f>
        <v>1538.4615384615383</v>
      </c>
      <c r="M25" s="51">
        <f>IFERROR($H24/(IF($J$4="Worker",$J$12,$J$13)/'List Values'!$D$15), "")</f>
        <v>3846.1538461538462</v>
      </c>
      <c r="N25" s="51">
        <f>IFERROR($H24/(IF($J$4="Worker",$J$12,$J$13)/'List Values'!$D$16), "")</f>
        <v>7692.3076923076924</v>
      </c>
      <c r="O25" s="51">
        <f>IFERROR($H24/(IF($J$4="Worker",$J$12,$J$13)/'List Values'!$D$17), "")</f>
        <v>153846.15384615381</v>
      </c>
      <c r="P25" s="118">
        <f>IFERROR($H24/(IF($J$4="Worker",$J$12,$J$13)/'List Values'!$D$18), "")</f>
        <v>1538461.5384615383</v>
      </c>
      <c r="R25" s="594"/>
      <c r="S25" s="96" t="s">
        <v>35</v>
      </c>
      <c r="T25" s="456">
        <f>VLOOKUP($B25, 'Hazard Values'!$G$6:$M$34, 6,FALSE )</f>
        <v>10</v>
      </c>
      <c r="U25" s="51" t="str">
        <f>IFERROR($R24/U$19, "")</f>
        <v/>
      </c>
      <c r="V25" s="51">
        <f>IFERROR($R24/U$11, "")</f>
        <v>3.6103313078011197</v>
      </c>
      <c r="W25" s="51">
        <f>IFERROR($R24/U$13, "")</f>
        <v>18.051656539005599</v>
      </c>
      <c r="X25" s="51">
        <f>IFERROR($R24/U$15, "")</f>
        <v>36.103313078011197</v>
      </c>
      <c r="Y25" s="118">
        <f>IFERROR($R24/U$17, "")</f>
        <v>72.206626156022395</v>
      </c>
    </row>
    <row r="26" spans="1:25" s="29" customFormat="1" ht="31.5" customHeight="1" x14ac:dyDescent="0.35">
      <c r="B26" s="52" t="s">
        <v>85</v>
      </c>
      <c r="C26" s="618" t="s">
        <v>159</v>
      </c>
      <c r="D26" s="625" t="s">
        <v>160</v>
      </c>
      <c r="E26" s="621" t="s">
        <v>161</v>
      </c>
      <c r="F26" s="621" t="s">
        <v>162</v>
      </c>
      <c r="G26" s="94"/>
      <c r="H26" s="631">
        <f>VLOOKUP($B26,'Hazard Values'!$G$15:$N$34,3,FALSE)</f>
        <v>8.26</v>
      </c>
      <c r="I26" s="97" t="s">
        <v>32</v>
      </c>
      <c r="J26" s="235">
        <f>VLOOKUP($B26, 'Hazard Values'!$G$6:$M$34, 6,FALSE )</f>
        <v>100</v>
      </c>
      <c r="K26" s="50">
        <f>IFERROR($H26/IF($J$4="Worker",$L$10,$L$11), "")</f>
        <v>13.592238116259198</v>
      </c>
      <c r="L26" s="64">
        <f>IFERROR($H26/(IF($J$4="Worker",$L$10,$L$11)/'List Values'!$D$14), "")</f>
        <v>135.92238116259196</v>
      </c>
      <c r="M26" s="64">
        <f>IFERROR($H26/(IF($J$4="Worker",$L$10,$L$11)/'List Values'!$D$15), "")</f>
        <v>339.80595290647989</v>
      </c>
      <c r="N26" s="64">
        <f>IFERROR($H26/(IF($J$4="Worker",$L$10,$L$11)/'List Values'!$D$16), "")</f>
        <v>679.61190581295978</v>
      </c>
      <c r="O26" s="64">
        <f>IFERROR($H26/(IF($J$4="Worker",$L$10,$L$11)/'List Values'!$D$17), "")</f>
        <v>13592.238116259197</v>
      </c>
      <c r="P26" s="74">
        <f>IFERROR($H26/(IF($J$4="Worker",$L$10,$L$11)/'List Values'!$D$18), "")</f>
        <v>135922.38116259198</v>
      </c>
      <c r="R26" s="593">
        <f>IF(VLOOKUP($B26,'Hazard Values'!$G$15:$N$34,4,FALSE)=0,"No HED value for this endpoint",VLOOKUP($B26,'Hazard Values'!$G$15:$N$34,4,FALSE))</f>
        <v>9.6999999999999993</v>
      </c>
      <c r="S26" s="97" t="s">
        <v>32</v>
      </c>
      <c r="T26" s="490">
        <f>VLOOKUP($B26, 'Hazard Values'!$G$6:$M$34, 6,FALSE )</f>
        <v>100</v>
      </c>
      <c r="U26" s="50" t="str">
        <f>IFERROR($R26/V$18, "")</f>
        <v/>
      </c>
      <c r="V26" s="50">
        <f>IFERROR($R26/V$10, "")</f>
        <v>4.010157802437603</v>
      </c>
      <c r="W26" s="50">
        <f>IFERROR($R26/V$12, "")</f>
        <v>20.050789012188016</v>
      </c>
      <c r="X26" s="50">
        <f>IFERROR($R26/V$14, "")</f>
        <v>40.101578024376032</v>
      </c>
      <c r="Y26" s="65">
        <f>IFERROR($R26/V$16, "")</f>
        <v>80.203156048752064</v>
      </c>
    </row>
    <row r="27" spans="1:25" s="29" customFormat="1" ht="30.75" customHeight="1" thickBot="1" x14ac:dyDescent="0.4">
      <c r="B27" s="52" t="s">
        <v>85</v>
      </c>
      <c r="C27" s="620"/>
      <c r="D27" s="628"/>
      <c r="E27" s="624"/>
      <c r="F27" s="624"/>
      <c r="G27" s="94"/>
      <c r="H27" s="632"/>
      <c r="I27" s="99" t="s">
        <v>80</v>
      </c>
      <c r="J27" s="173">
        <f>VLOOKUP($B27, 'Hazard Values'!$G$6:$M$34, 6,FALSE )</f>
        <v>100</v>
      </c>
      <c r="K27" s="163">
        <f>IFERROR($H26/IF($J$4="Worker",$L$12,$L$13), "")</f>
        <v>1113.1938461538462</v>
      </c>
      <c r="L27" s="51">
        <f>IFERROR($H26/(IF($J$4="Worker",$L$12,$L$13)/('List Values'!$D$14)), "")</f>
        <v>11131.938461538462</v>
      </c>
      <c r="M27" s="51">
        <f>IFERROR($H26/(IF($J$4="Worker",$L$12,$L$13)/'List Values'!$D$15), "")</f>
        <v>27829.846153846156</v>
      </c>
      <c r="N27" s="51">
        <f>IFERROR($H26/(IF($J$4="Worker",$L$12,$L$13)/'List Values'!$D$16), "")</f>
        <v>55659.692307692312</v>
      </c>
      <c r="O27" s="51">
        <f>IFERROR($H26/(IF($J$4="Worker",$L$12,$L$13)/'List Values'!$D$17), "")</f>
        <v>1113193.8461538462</v>
      </c>
      <c r="P27" s="118">
        <f>IFERROR($H26/(IF($J$4="Worker",$L$12,$L$13)/'List Values'!$D$18), "")</f>
        <v>11131938.461538462</v>
      </c>
      <c r="R27" s="594"/>
      <c r="S27" s="96" t="s">
        <v>35</v>
      </c>
      <c r="T27" s="457">
        <f>VLOOKUP($B27, 'Hazard Values'!$G$6:$M$34, 6,FALSE )</f>
        <v>100</v>
      </c>
      <c r="U27" s="51" t="str">
        <f>IFERROR($R26/V$19, "")</f>
        <v/>
      </c>
      <c r="V27" s="51">
        <f>IFERROR($R26/V$11, "")</f>
        <v>12.030473407312813</v>
      </c>
      <c r="W27" s="51">
        <f>IFERROR($R26/V$13, "")</f>
        <v>60.152367036564058</v>
      </c>
      <c r="X27" s="51">
        <f>IFERROR($R26/V$15, "")</f>
        <v>120.30473407312812</v>
      </c>
      <c r="Y27" s="118">
        <f>IFERROR($R26/V$17, "")</f>
        <v>240.60946814625623</v>
      </c>
    </row>
    <row r="28" spans="1:25" s="29" customFormat="1" ht="12.75" customHeight="1" x14ac:dyDescent="0.35">
      <c r="B28" s="52" t="s">
        <v>87</v>
      </c>
      <c r="C28" s="620"/>
      <c r="D28" s="628"/>
      <c r="E28" s="623" t="s">
        <v>163</v>
      </c>
      <c r="F28" s="635" t="s">
        <v>164</v>
      </c>
      <c r="G28" s="98"/>
      <c r="H28" s="631">
        <f>VLOOKUP($B28,'Hazard Values'!$G$15:$N$34,3,FALSE)</f>
        <v>2.21</v>
      </c>
      <c r="I28" s="97" t="s">
        <v>32</v>
      </c>
      <c r="J28" s="235">
        <f>VLOOKUP($B28, 'Hazard Values'!$G$6:$M$34, 6,FALSE )</f>
        <v>100</v>
      </c>
      <c r="K28" s="50">
        <f>IFERROR($H28/IF($J$4="Worker",$L$10,$L$11), "")</f>
        <v>3.6366641933332717</v>
      </c>
      <c r="L28" s="64">
        <f>IFERROR($H28/(IF($J$4="Worker",$L$10,$L$11)/'List Values'!$D$14), "")</f>
        <v>36.366641933332716</v>
      </c>
      <c r="M28" s="64">
        <f>IFERROR($H28/(IF($J$4="Worker",$L$10,$L$11)/'List Values'!$D$15), "")</f>
        <v>90.916604833331789</v>
      </c>
      <c r="N28" s="64">
        <f>IFERROR($H28/(IF($J$4="Worker",$L$10,$L$11)/'List Values'!$D$16), "")</f>
        <v>181.83320966666358</v>
      </c>
      <c r="O28" s="64">
        <f>IFERROR($H28/(IF($J$4="Worker",$L$10,$L$11)/'List Values'!$D$17), "")</f>
        <v>3636.6641933332717</v>
      </c>
      <c r="P28" s="74">
        <f>IFERROR($H28/(IF($J$4="Worker",$L$10,$L$11)/'List Values'!$D$18), "")</f>
        <v>36366.641933332714</v>
      </c>
      <c r="R28" s="593">
        <f>IF(VLOOKUP($B28,'Hazard Values'!$G$15:$N$34,4,FALSE)=0,"No HED value for this endpoint",VLOOKUP($B28,'Hazard Values'!$G$15:$N$34,4,FALSE))</f>
        <v>6.2</v>
      </c>
      <c r="S28" s="97" t="s">
        <v>32</v>
      </c>
      <c r="T28" s="233">
        <f>VLOOKUP($B28, 'Hazard Values'!$G$6:$M$34, 6,FALSE )</f>
        <v>100</v>
      </c>
      <c r="U28" s="50" t="str">
        <f>IFERROR($R28/V$18, "")</f>
        <v/>
      </c>
      <c r="V28" s="50">
        <f>IFERROR($R28/V$10, "")</f>
        <v>2.5631936469188803</v>
      </c>
      <c r="W28" s="50">
        <f>IFERROR($R28/V$12, "")</f>
        <v>12.815968234594402</v>
      </c>
      <c r="X28" s="50">
        <f>IFERROR($R28/V$14, "")</f>
        <v>25.631936469188805</v>
      </c>
      <c r="Y28" s="65">
        <f>IFERROR($R28/V$16, "")</f>
        <v>51.26387293837761</v>
      </c>
    </row>
    <row r="29" spans="1:25" s="30" customFormat="1" ht="13.5" customHeight="1" thickBot="1" x14ac:dyDescent="0.4">
      <c r="A29" s="29"/>
      <c r="B29" s="52" t="s">
        <v>87</v>
      </c>
      <c r="C29" s="620"/>
      <c r="D29" s="628"/>
      <c r="E29" s="624"/>
      <c r="F29" s="637"/>
      <c r="G29" s="98"/>
      <c r="H29" s="632"/>
      <c r="I29" s="96" t="s">
        <v>80</v>
      </c>
      <c r="J29" s="173">
        <f>VLOOKUP($B29, 'Hazard Values'!$G$6:$M$34, 6,FALSE )</f>
        <v>100</v>
      </c>
      <c r="K29" s="163">
        <f>IFERROR($H28/IF($J$4="Worker",$L$12,$L$13), "")</f>
        <v>297.84000000000003</v>
      </c>
      <c r="L29" s="51">
        <f>IFERROR($H28/(IF($J$4="Worker",$L$12,$L$13)/('List Values'!$D$14)), "")</f>
        <v>2978.4</v>
      </c>
      <c r="M29" s="51">
        <f>IFERROR($H28/(IF($J$4="Worker",$L$12,$L$13)/'List Values'!$D$15), "")</f>
        <v>7446</v>
      </c>
      <c r="N29" s="51">
        <f>IFERROR($H28/(IF($J$4="Worker",$L$12,$L$13)/'List Values'!$D$16), "")</f>
        <v>14892</v>
      </c>
      <c r="O29" s="51">
        <f>IFERROR($H28/(IF($J$4="Worker",$L$12,$L$13)/'List Values'!$D$17), "")</f>
        <v>297840</v>
      </c>
      <c r="P29" s="118">
        <f>IFERROR($H28/(IF($J$4="Worker",$L$12,$L$13)/'List Values'!$D$18), "")</f>
        <v>2978400</v>
      </c>
      <c r="R29" s="594"/>
      <c r="S29" s="308" t="s">
        <v>35</v>
      </c>
      <c r="T29" s="456">
        <f>VLOOKUP($B29, 'Hazard Values'!$G$6:$M$34, 6,FALSE )</f>
        <v>100</v>
      </c>
      <c r="U29" s="309" t="str">
        <f>IFERROR($R28/V$19, "")</f>
        <v/>
      </c>
      <c r="V29" s="309">
        <f>IFERROR($R28/V$11, "")</f>
        <v>7.6895809407566436</v>
      </c>
      <c r="W29" s="309">
        <f>IFERROR($R28/V$13, "")</f>
        <v>38.447904703783216</v>
      </c>
      <c r="X29" s="309">
        <f>IFERROR($R28/V$15, "")</f>
        <v>76.895809407566432</v>
      </c>
      <c r="Y29" s="310">
        <f>IFERROR($R28/V$17, "")</f>
        <v>153.79161881513286</v>
      </c>
    </row>
    <row r="30" spans="1:25" s="30" customFormat="1" ht="12.75" customHeight="1" x14ac:dyDescent="0.35">
      <c r="B30" s="52" t="s">
        <v>89</v>
      </c>
      <c r="C30" s="620"/>
      <c r="D30" s="628"/>
      <c r="E30" s="623" t="s">
        <v>165</v>
      </c>
      <c r="F30" s="646" t="s">
        <v>166</v>
      </c>
      <c r="G30" s="94"/>
      <c r="H30" s="631">
        <f>VLOOKUP($B30,'Hazard Values'!$G$15:$N$34,3,FALSE)</f>
        <v>5.2</v>
      </c>
      <c r="I30" s="97" t="s">
        <v>32</v>
      </c>
      <c r="J30" s="235">
        <f>VLOOKUP($B30, 'Hazard Values'!$G$6:$M$34, 6,FALSE )</f>
        <v>100</v>
      </c>
      <c r="K30" s="50">
        <f>IFERROR($H30/IF($J$4="Worker",$L$10,$L$11), "")</f>
        <v>8.5568569254900524</v>
      </c>
      <c r="L30" s="64">
        <f>IFERROR($H30/(IF($J$4="Worker",$L$10,$L$11)/'List Values'!$D$14), "")</f>
        <v>85.568569254900524</v>
      </c>
      <c r="M30" s="64">
        <f>IFERROR($H30/(IF($J$4="Worker",$L$10,$L$11)/'List Values'!$D$15), "")</f>
        <v>213.92142313725128</v>
      </c>
      <c r="N30" s="64">
        <f>IFERROR($H30/(IF($J$4="Worker",$L$10,$L$11)/'List Values'!$D$16), "")</f>
        <v>427.84284627450256</v>
      </c>
      <c r="O30" s="64">
        <f>IFERROR($H30/(IF($J$4="Worker",$L$10,$L$11)/'List Values'!$D$17), "")</f>
        <v>8556.8569254900522</v>
      </c>
      <c r="P30" s="74">
        <f>IFERROR($H30/(IF($J$4="Worker",$L$10,$L$11)/'List Values'!$D$18), "")</f>
        <v>85568.569254900518</v>
      </c>
      <c r="R30" s="593">
        <f>IF(VLOOKUP($B30,'Hazard Values'!$G$15:$N$34,4,FALSE)=0,"No HED value for this endpoint",VLOOKUP($B30,'Hazard Values'!$G$15:$N$34,4,FALSE))</f>
        <v>2.6</v>
      </c>
      <c r="S30" s="97" t="s">
        <v>32</v>
      </c>
      <c r="T30" s="490">
        <f>VLOOKUP($B30, 'Hazard Values'!$G$6:$M$34, 6,FALSE )</f>
        <v>100</v>
      </c>
      <c r="U30" s="50" t="str">
        <f>IFERROR($R30/V$18, "")</f>
        <v/>
      </c>
      <c r="V30" s="50">
        <f>IFERROR($R30/V$10, "")</f>
        <v>1.0748876583853368</v>
      </c>
      <c r="W30" s="50">
        <f>IFERROR($R30/V$12, "")</f>
        <v>5.3744382919266851</v>
      </c>
      <c r="X30" s="50">
        <f>IFERROR($R30/V$14, "")</f>
        <v>10.74887658385337</v>
      </c>
      <c r="Y30" s="65">
        <f>IFERROR($R30/V$16, "")</f>
        <v>21.49775316770674</v>
      </c>
    </row>
    <row r="31" spans="1:25" s="30" customFormat="1" ht="13.5" customHeight="1" thickBot="1" x14ac:dyDescent="0.4">
      <c r="B31" s="52" t="s">
        <v>89</v>
      </c>
      <c r="C31" s="620"/>
      <c r="D31" s="628"/>
      <c r="E31" s="624"/>
      <c r="F31" s="647"/>
      <c r="G31" s="94"/>
      <c r="H31" s="632"/>
      <c r="I31" s="96" t="s">
        <v>80</v>
      </c>
      <c r="J31" s="173">
        <f>VLOOKUP($B31, 'Hazard Values'!$G$6:$M$34, 6,FALSE )</f>
        <v>100</v>
      </c>
      <c r="K31" s="163">
        <f>IFERROR($H30/IF($J$4="Worker",$L$12,$L$13), "")</f>
        <v>700.80000000000007</v>
      </c>
      <c r="L31" s="51">
        <f>IFERROR($H30/(IF($J$4="Worker",$L$12,$L$13)/('List Values'!$D$14)), "")</f>
        <v>7008.0000000000009</v>
      </c>
      <c r="M31" s="51">
        <f>IFERROR($H30/(IF($J$4="Worker",$L$12,$L$13)/'List Values'!$D$15), "")</f>
        <v>17520</v>
      </c>
      <c r="N31" s="51">
        <f>IFERROR($H30/(IF($J$4="Worker",$L$12,$L$13)/'List Values'!$D$16), "")</f>
        <v>35040</v>
      </c>
      <c r="O31" s="51">
        <f>IFERROR($H30/(IF($J$4="Worker",$L$12,$L$13)/'List Values'!$D$17), "")</f>
        <v>700800.00000000012</v>
      </c>
      <c r="P31" s="118">
        <f>IFERROR($H30/(IF($J$4="Worker",$L$12,$L$13)/'List Values'!$D$18), "")</f>
        <v>7008000</v>
      </c>
      <c r="R31" s="594"/>
      <c r="S31" s="96" t="s">
        <v>35</v>
      </c>
      <c r="T31" s="457">
        <f>VLOOKUP($B31, 'Hazard Values'!$G$6:$M$34, 6,FALSE )</f>
        <v>100</v>
      </c>
      <c r="U31" s="51" t="str">
        <f>IFERROR($R30/V$19, "")</f>
        <v/>
      </c>
      <c r="V31" s="51">
        <f>IFERROR($R30/V$11, "")</f>
        <v>3.2246629751560119</v>
      </c>
      <c r="W31" s="51">
        <f>IFERROR($R30/V$13, "")</f>
        <v>16.123314875780061</v>
      </c>
      <c r="X31" s="51">
        <f>IFERROR($R30/V$15, "")</f>
        <v>32.246629751560121</v>
      </c>
      <c r="Y31" s="118">
        <f>IFERROR($R30/V$17, "")</f>
        <v>64.493259503120242</v>
      </c>
    </row>
    <row r="32" spans="1:25" s="30" customFormat="1" ht="13.5" customHeight="1" x14ac:dyDescent="0.35">
      <c r="B32" s="52" t="str">
        <f>IFERROR(IF(VLOOKUP(VLOOKUP($H$4&amp;$I$4,'List Values'!$N$2:$O$62,2,FALSE),'Inhalation Exposure'!$B$5:$Z$65,4,FALSE)="8-hr","Tox24",IF(VLOOKUP(VLOOKUP($H$4&amp;$I$4,'List Values'!$N$2:$O$62,2,FALSE),'Inhalation Exposure'!$B$5:$Z$65,4,FALSE)="12-hr","Tox25","N/A")),"Tox24")</f>
        <v>Tox24</v>
      </c>
      <c r="C32" s="620"/>
      <c r="D32" s="628"/>
      <c r="E32" s="623" t="s">
        <v>165</v>
      </c>
      <c r="F32" s="647"/>
      <c r="G32" s="94"/>
      <c r="H32" s="631">
        <f>VLOOKUP($B32,'Hazard Values'!$G$15:$N$34,3,FALSE)</f>
        <v>14.5</v>
      </c>
      <c r="I32" s="97" t="s">
        <v>32</v>
      </c>
      <c r="J32" s="235">
        <f>VLOOKUP($B32, 'Hazard Values'!$G$6:$M$34, 6,FALSE )</f>
        <v>100</v>
      </c>
      <c r="K32" s="50">
        <f>IFERROR($H32/IF($J$4="Worker",$J$10,$J$11), "")</f>
        <v>5.4475950746226607</v>
      </c>
      <c r="L32" s="64">
        <f>IFERROR($H32/(IF($J$4="Worker",$J$10,$J$11)/'List Values'!$D$14), "")</f>
        <v>54.475950746226609</v>
      </c>
      <c r="M32" s="64">
        <f>IFERROR($H32/(IF($J$4="Worker",$J$10,$J$11)/'List Values'!$D$15), "")</f>
        <v>136.18987686556653</v>
      </c>
      <c r="N32" s="64">
        <f>IFERROR($H32/(IF($J$4="Worker",$J$10,$J$11)/'List Values'!$D$16), "")</f>
        <v>272.37975373113306</v>
      </c>
      <c r="O32" s="64">
        <f>IFERROR($H32/(IF($J$4="Worker",$J$10,$J$11)/'List Values'!$D$17), "")</f>
        <v>5447.5950746226608</v>
      </c>
      <c r="P32" s="74">
        <f>IFERROR($H32/(IF($J$4="Worker",$J$10,$J$11)/'List Values'!$D$18), "")</f>
        <v>54475.950746226605</v>
      </c>
      <c r="R32" s="593">
        <f>IF(VLOOKUP($B32,'Hazard Values'!$G$15:$N$34,4,FALSE)=0,"No HED value for this endpoint",VLOOKUP($B32,'Hazard Values'!$G$15:$N$34,4,FALSE))</f>
        <v>2.6</v>
      </c>
      <c r="S32" s="97" t="s">
        <v>32</v>
      </c>
      <c r="T32" s="490">
        <f>VLOOKUP($B32, 'Hazard Values'!$G$6:$M$34, 6,FALSE )</f>
        <v>100</v>
      </c>
      <c r="U32" s="50" t="str">
        <f>IFERROR($R32/V$18, "")</f>
        <v/>
      </c>
      <c r="V32" s="50">
        <f>IFERROR($R32/V$10, "")</f>
        <v>1.0748876583853368</v>
      </c>
      <c r="W32" s="50">
        <f>IFERROR($R32/V$12, "")</f>
        <v>5.3744382919266851</v>
      </c>
      <c r="X32" s="50">
        <f>IFERROR($R32/V$14, "")</f>
        <v>10.74887658385337</v>
      </c>
      <c r="Y32" s="65">
        <f>IFERROR($R32/V$16, "")</f>
        <v>21.49775316770674</v>
      </c>
    </row>
    <row r="33" spans="2:25" s="30" customFormat="1" ht="13.5" customHeight="1" thickBot="1" x14ac:dyDescent="0.4">
      <c r="B33" s="52" t="str">
        <f>IFERROR(IF(VLOOKUP(VLOOKUP($H$4&amp;$I$4,'List Values'!$N$2:$O$62,2,FALSE),'Inhalation Exposure'!$B$5:$Z$65,4,FALSE)="8-hr","Tox24",IF(VLOOKUP(VLOOKUP($H$4&amp;$I$4,'List Values'!$N$2:$O$62,2,FALSE),'Inhalation Exposure'!$B$5:$Z$65,4,FALSE)="12-hr","Tox25","N/A")),"Tox24")</f>
        <v>Tox24</v>
      </c>
      <c r="C33" s="620"/>
      <c r="D33" s="629"/>
      <c r="E33" s="624"/>
      <c r="F33" s="648"/>
      <c r="G33" s="94"/>
      <c r="H33" s="632"/>
      <c r="I33" s="96" t="s">
        <v>80</v>
      </c>
      <c r="J33" s="173">
        <f>VLOOKUP($B33, 'Hazard Values'!$G$6:$M$34, 6,FALSE )</f>
        <v>100</v>
      </c>
      <c r="K33" s="163">
        <f>IFERROR($H32/IF($J$4="Worker",$J$12,$J$13), "")</f>
        <v>446.15384615384613</v>
      </c>
      <c r="L33" s="51">
        <f>IFERROR($H32/(IF($J$4="Worker",$J$12,$J$13)/('List Values'!$D$14)), "")</f>
        <v>4461.538461538461</v>
      </c>
      <c r="M33" s="51">
        <f>IFERROR($H32/(IF($J$4="Worker",$J$12,$J$13)/'List Values'!$D$15), "")</f>
        <v>11153.846153846154</v>
      </c>
      <c r="N33" s="51">
        <f>IFERROR($H32/(IF($J$4="Worker",$J$12,$L$13)/'List Values'!$D$16), "")</f>
        <v>22307.692307692309</v>
      </c>
      <c r="O33" s="51">
        <f>IFERROR($H32/(IF($J$4="Worker",$J$12,$J$13)/'List Values'!$D$17), "")</f>
        <v>446153.84615384613</v>
      </c>
      <c r="P33" s="118">
        <f>IFERROR($H32/(IF($J$4="Worker",$J$12,$J$13)/'List Values'!$D$18), "")</f>
        <v>4461538.461538461</v>
      </c>
      <c r="R33" s="594"/>
      <c r="S33" s="96" t="s">
        <v>35</v>
      </c>
      <c r="T33" s="457">
        <f>VLOOKUP($B33, 'Hazard Values'!$G$6:$M$34, 6,FALSE )</f>
        <v>100</v>
      </c>
      <c r="U33" s="51" t="str">
        <f>IFERROR($R32/V$19, "")</f>
        <v/>
      </c>
      <c r="V33" s="51">
        <f>IFERROR($R32/V$11, "")</f>
        <v>3.2246629751560119</v>
      </c>
      <c r="W33" s="51">
        <f>IFERROR($R32/V$13, "")</f>
        <v>16.123314875780061</v>
      </c>
      <c r="X33" s="51">
        <f>IFERROR($R32/V$15, "")</f>
        <v>32.246629751560121</v>
      </c>
      <c r="Y33" s="118">
        <f>IFERROR($R32/V$17, "")</f>
        <v>64.493259503120242</v>
      </c>
    </row>
    <row r="34" spans="2:25" s="30" customFormat="1" ht="12.75" customHeight="1" x14ac:dyDescent="0.35">
      <c r="B34" s="52" t="s">
        <v>93</v>
      </c>
      <c r="C34" s="620"/>
      <c r="D34" s="627" t="s">
        <v>167</v>
      </c>
      <c r="E34" s="623" t="s">
        <v>168</v>
      </c>
      <c r="F34" s="635" t="s">
        <v>169</v>
      </c>
      <c r="G34" s="98"/>
      <c r="H34" s="641">
        <f>VLOOKUP($B34,'Hazard Values'!$G$15:$N$34,3,FALSE)</f>
        <v>5</v>
      </c>
      <c r="I34" s="95" t="s">
        <v>32</v>
      </c>
      <c r="J34" s="327">
        <f>VLOOKUP($B34, 'Hazard Values'!$G$6:$M$34, 6,FALSE )</f>
        <v>100</v>
      </c>
      <c r="K34" s="64">
        <f>IFERROR($H34/IF($J$4="Worker",$L$10,$L$11), "")</f>
        <v>8.2277470437404343</v>
      </c>
      <c r="L34" s="64">
        <f>IFERROR($H34/(IF($J$4="Worker",$L$10,$L$11)/'List Values'!$D$14), "")</f>
        <v>82.277470437404347</v>
      </c>
      <c r="M34" s="64">
        <f>IFERROR($H34/(IF($J$4="Worker",$L$10,$L$11)/'List Values'!$D$15), "")</f>
        <v>205.69367609351085</v>
      </c>
      <c r="N34" s="64">
        <f>IFERROR($H34/(IF($J$4="Worker",$L$10,$L$11)/'List Values'!$D$16), "")</f>
        <v>411.38735218702169</v>
      </c>
      <c r="O34" s="64">
        <f>IFERROR($H34/(IF($J$4="Worker",$L$10,$L$11)/'List Values'!$D$17), "")</f>
        <v>8227.7470437404336</v>
      </c>
      <c r="P34" s="74">
        <f>IFERROR($H34/(IF($J$4="Worker",$L$10,$L$11)/'List Values'!$D$18), "")</f>
        <v>82277.470437404336</v>
      </c>
      <c r="R34" s="593">
        <f>IF(VLOOKUP($B34,'Hazard Values'!$G$15:$N$34,4,FALSE)=0,"No HED value for this endpoint",VLOOKUP($B34,'Hazard Values'!$G$15:$N$34,4,FALSE))</f>
        <v>5.4</v>
      </c>
      <c r="S34" s="97" t="s">
        <v>32</v>
      </c>
      <c r="T34" s="233">
        <f>VLOOKUP($B34, 'Hazard Values'!$G$6:$M$34, 6,FALSE )</f>
        <v>100</v>
      </c>
      <c r="U34" s="50" t="str">
        <f>IFERROR($R34/V$18, "")</f>
        <v/>
      </c>
      <c r="V34" s="50">
        <f>IFERROR($R34/V$10, "")</f>
        <v>2.2324589828003152</v>
      </c>
      <c r="W34" s="50">
        <f>IFERROR($R34/V$12, "")</f>
        <v>11.162294914001576</v>
      </c>
      <c r="X34" s="50">
        <f>IFERROR($R34/V$14, "")</f>
        <v>22.324589828003152</v>
      </c>
      <c r="Y34" s="65">
        <f>IFERROR($R34/V$16, "")</f>
        <v>44.649179656006304</v>
      </c>
    </row>
    <row r="35" spans="2:25" s="30" customFormat="1" ht="13.5" customHeight="1" thickBot="1" x14ac:dyDescent="0.4">
      <c r="B35" s="52" t="s">
        <v>93</v>
      </c>
      <c r="C35" s="620"/>
      <c r="D35" s="628"/>
      <c r="E35" s="624"/>
      <c r="F35" s="637"/>
      <c r="G35" s="98"/>
      <c r="H35" s="632"/>
      <c r="I35" s="96" t="s">
        <v>80</v>
      </c>
      <c r="J35" s="328">
        <f>VLOOKUP($B35, 'Hazard Values'!$G$6:$M$34, 6,FALSE )</f>
        <v>100</v>
      </c>
      <c r="K35" s="163">
        <f>IFERROR($H34/IF($J$4="Worker",$L$12,$L$13), "")</f>
        <v>673.84615384615392</v>
      </c>
      <c r="L35" s="51">
        <f>IFERROR($H34/(IF($J$4="Worker",$L$12,$L$13)/('List Values'!$D$14)), "")</f>
        <v>6738.461538461539</v>
      </c>
      <c r="M35" s="51">
        <f>IFERROR($H34/(IF($J$4="Worker",$L$12,$L$13)/'List Values'!$D$15), "")</f>
        <v>16846.153846153848</v>
      </c>
      <c r="N35" s="51">
        <f>IFERROR($H34/(IF($J$4="Worker",$L$12,$L$13)/'List Values'!$D$16), "")</f>
        <v>33692.307692307695</v>
      </c>
      <c r="O35" s="51">
        <f>IFERROR($H34/(IF($J$4="Worker",$L$12,$L$13)/'List Values'!$D$17), "")</f>
        <v>673846.15384615387</v>
      </c>
      <c r="P35" s="118">
        <f>IFERROR($H34/(IF($J$4="Worker",$L$12,$L$13)/'List Values'!$D$18), "")</f>
        <v>6738461.538461538</v>
      </c>
      <c r="R35" s="594"/>
      <c r="S35" s="99" t="s">
        <v>35</v>
      </c>
      <c r="T35" s="456">
        <f>VLOOKUP($B35, 'Hazard Values'!$G$6:$M$34, 6,FALSE )</f>
        <v>100</v>
      </c>
      <c r="U35" s="51" t="str">
        <f>IFERROR($R34/V$19, "")</f>
        <v/>
      </c>
      <c r="V35" s="51">
        <f>IFERROR($R34/V$11, "")</f>
        <v>6.6973769484009482</v>
      </c>
      <c r="W35" s="51">
        <f>IFERROR($R34/V$13, "")</f>
        <v>33.48688474200474</v>
      </c>
      <c r="X35" s="51">
        <f>IFERROR($R34/V$15, "")</f>
        <v>66.97376948400948</v>
      </c>
      <c r="Y35" s="118">
        <f>IFERROR($R34/V$17, "")</f>
        <v>133.94753896801896</v>
      </c>
    </row>
    <row r="36" spans="2:25" s="30" customFormat="1" x14ac:dyDescent="0.35">
      <c r="B36" s="52" t="s">
        <v>95</v>
      </c>
      <c r="C36" s="620"/>
      <c r="D36" s="628"/>
      <c r="E36" s="623" t="s">
        <v>170</v>
      </c>
      <c r="F36" s="635" t="s">
        <v>171</v>
      </c>
      <c r="G36" s="98"/>
      <c r="H36" s="631">
        <f>VLOOKUP($B36,'Hazard Values'!$G$15:$N$34,3,FALSE)</f>
        <v>9</v>
      </c>
      <c r="I36" s="97" t="s">
        <v>32</v>
      </c>
      <c r="J36" s="327">
        <f>VLOOKUP($B36, 'Hazard Values'!$G$6:$M$34, 6,FALSE )</f>
        <v>30</v>
      </c>
      <c r="K36" s="50">
        <f>IFERROR($H36/IF($J$4="Worker",$L$10,$L$11), "")</f>
        <v>14.809944678732782</v>
      </c>
      <c r="L36" s="64">
        <f>IFERROR($H36/(IF($J$4="Worker",$L$10,$L$11)/'List Values'!$D$14), "")</f>
        <v>148.09944678732782</v>
      </c>
      <c r="M36" s="64">
        <f>IFERROR($H36/(IF($J$4="Worker",$L$10,$L$11)/'List Values'!$D$15), "")</f>
        <v>370.24861696831954</v>
      </c>
      <c r="N36" s="64">
        <f>IFERROR($H36/(IF($J$4="Worker",$L$10,$L$11)/'List Values'!$D$16), "")</f>
        <v>740.49723393663908</v>
      </c>
      <c r="O36" s="64">
        <f>IFERROR($H36/(IF($J$4="Worker",$L$10,$L$11)/'List Values'!$D$17), "")</f>
        <v>14809.944678732782</v>
      </c>
      <c r="P36" s="74">
        <f>IFERROR($H36/(IF($J$4="Worker",$L$10,$L$11)/'List Values'!$D$18), "")</f>
        <v>148099.44678732782</v>
      </c>
      <c r="R36" s="593">
        <f>IF(VLOOKUP($B36,'Hazard Values'!$G$15:$N$34,4,FALSE)=0,"No HED value for this endpoint",VLOOKUP($B36,'Hazard Values'!$G$15:$N$34,4,FALSE))</f>
        <v>9.5</v>
      </c>
      <c r="S36" s="97" t="s">
        <v>32</v>
      </c>
      <c r="T36" s="490">
        <f>VLOOKUP($B36, 'Hazard Values'!$G$6:$M$34, 6,FALSE )</f>
        <v>30</v>
      </c>
      <c r="U36" s="50" t="str">
        <f>IFERROR($R36/V$18, "")</f>
        <v/>
      </c>
      <c r="V36" s="50">
        <f>IFERROR($R36/V$10, "")</f>
        <v>3.9274741364079619</v>
      </c>
      <c r="W36" s="50">
        <f>IFERROR($R36/V$12, "")</f>
        <v>19.637370682039808</v>
      </c>
      <c r="X36" s="50">
        <f>IFERROR($R36/V$14, "")</f>
        <v>39.274741364079617</v>
      </c>
      <c r="Y36" s="65">
        <f>IFERROR($R36/V$16, "")</f>
        <v>78.549482728159234</v>
      </c>
    </row>
    <row r="37" spans="2:25" s="30" customFormat="1" ht="13.5" thickBot="1" x14ac:dyDescent="0.4">
      <c r="B37" s="52" t="s">
        <v>95</v>
      </c>
      <c r="C37" s="620"/>
      <c r="D37" s="628"/>
      <c r="E37" s="624"/>
      <c r="F37" s="636"/>
      <c r="G37" s="98"/>
      <c r="H37" s="632"/>
      <c r="I37" s="96" t="s">
        <v>80</v>
      </c>
      <c r="J37" s="173">
        <f>VLOOKUP($B37, 'Hazard Values'!$G$6:$M$34, 6,FALSE )</f>
        <v>30</v>
      </c>
      <c r="K37" s="163">
        <f>IFERROR($H36/IF($J$4="Worker",$L$12,$L$13), "")</f>
        <v>1212.9230769230769</v>
      </c>
      <c r="L37" s="51">
        <f>IFERROR($H36/(IF($J$4="Worker",$L$12,$L$13)/('List Values'!$D$14)), "")</f>
        <v>12129.230769230771</v>
      </c>
      <c r="M37" s="51">
        <f>IFERROR($H36/(IF($J$4="Worker",$L$12,$L$13)/'List Values'!$D$15), "")</f>
        <v>30323.076923076926</v>
      </c>
      <c r="N37" s="51">
        <f>IFERROR($H36/(IF($J$4="Worker",$L$12,$L$13)/'List Values'!$D$16), "")</f>
        <v>60646.153846153851</v>
      </c>
      <c r="O37" s="51">
        <f>IFERROR($H36/(IF($J$4="Worker",$L$12,$L$13)/'List Values'!$D$17), "")</f>
        <v>1212923.076923077</v>
      </c>
      <c r="P37" s="118">
        <f>IFERROR($H36/(IF($J$4="Worker",$L$12,$L$13)/'List Values'!$D$18), "")</f>
        <v>12129230.76923077</v>
      </c>
      <c r="R37" s="594"/>
      <c r="S37" s="96" t="s">
        <v>35</v>
      </c>
      <c r="T37" s="457">
        <f>VLOOKUP($B37, 'Hazard Values'!$G$6:$M$34, 6,FALSE )</f>
        <v>30</v>
      </c>
      <c r="U37" s="51" t="str">
        <f>IFERROR($R36/V$19, "")</f>
        <v/>
      </c>
      <c r="V37" s="51">
        <f>IFERROR($R36/V$11, "")</f>
        <v>11.782422409223889</v>
      </c>
      <c r="W37" s="51">
        <f>IFERROR($R36/V$13, "")</f>
        <v>58.912112046119447</v>
      </c>
      <c r="X37" s="51">
        <f>IFERROR($R36/V$15, "")</f>
        <v>117.82422409223889</v>
      </c>
      <c r="Y37" s="118">
        <f>IFERROR($R36/V$17, "")</f>
        <v>235.64844818447779</v>
      </c>
    </row>
    <row r="38" spans="2:25" s="30" customFormat="1" ht="12.75" customHeight="1" x14ac:dyDescent="0.35">
      <c r="B38" s="52" t="s">
        <v>97</v>
      </c>
      <c r="C38" s="620"/>
      <c r="D38" s="628"/>
      <c r="E38" s="623" t="s">
        <v>172</v>
      </c>
      <c r="F38" s="636"/>
      <c r="G38" s="98"/>
      <c r="H38" s="631">
        <f>VLOOKUP($B38,'Hazard Values'!$G$15:$N$34,3,FALSE)</f>
        <v>2.1</v>
      </c>
      <c r="I38" s="97" t="s">
        <v>32</v>
      </c>
      <c r="J38" s="174">
        <f>VLOOKUP($B38, 'Hazard Values'!$G$6:$M$34, 6,FALSE )</f>
        <v>30</v>
      </c>
      <c r="K38" s="50">
        <f>IFERROR($H38/IF($J$4="Worker",$L$10,$L$11), "")</f>
        <v>3.4556537583709823</v>
      </c>
      <c r="L38" s="64">
        <f>IFERROR($H38/(IF($J$4="Worker",$L$10,$L$11)/'List Values'!$D$14), "")</f>
        <v>34.556537583709826</v>
      </c>
      <c r="M38" s="64">
        <f>IFERROR($H38/(IF($J$4="Worker",$L$10,$L$11)/'List Values'!$D$15), "")</f>
        <v>86.391343959274565</v>
      </c>
      <c r="N38" s="64">
        <f>IFERROR($H38/(IF($J$4="Worker",$L$10,$L$11)/'List Values'!$D$16), "")</f>
        <v>172.78268791854913</v>
      </c>
      <c r="O38" s="64">
        <f>IFERROR($H38/(IF($J$4="Worker",$L$10,$L$11)/'List Values'!$D$17), "")</f>
        <v>3455.6537583709824</v>
      </c>
      <c r="P38" s="74">
        <f>IFERROR($H38/(IF($J$4="Worker",$L$10,$L$11)/'List Values'!$D$18), "")</f>
        <v>34556.537583709825</v>
      </c>
      <c r="R38" s="593">
        <f>IF(VLOOKUP($B38,'Hazard Values'!$G$15:$N$34,4,FALSE)=0,"No HED value for this endpoint",VLOOKUP($B38,'Hazard Values'!$G$15:$N$34,4,FALSE))</f>
        <v>2.2000000000000002</v>
      </c>
      <c r="S38" s="97" t="s">
        <v>32</v>
      </c>
      <c r="T38" s="233">
        <f>VLOOKUP($B38, 'Hazard Values'!$G$6:$M$34, 6,FALSE )</f>
        <v>30</v>
      </c>
      <c r="U38" s="50" t="str">
        <f>IFERROR($R38/V$18, "")</f>
        <v/>
      </c>
      <c r="V38" s="50">
        <f>IFERROR($R38/V$10, "")</f>
        <v>0.9095203263260544</v>
      </c>
      <c r="W38" s="50">
        <f>IFERROR($R38/V$12, "")</f>
        <v>4.5476016316302719</v>
      </c>
      <c r="X38" s="50">
        <f>IFERROR($R38/V$14, "")</f>
        <v>9.0952032632605437</v>
      </c>
      <c r="Y38" s="65">
        <f>IFERROR($R38/V$16, "")</f>
        <v>18.190406526521087</v>
      </c>
    </row>
    <row r="39" spans="2:25" s="30" customFormat="1" ht="12.75" customHeight="1" thickBot="1" x14ac:dyDescent="0.4">
      <c r="B39" s="52" t="s">
        <v>97</v>
      </c>
      <c r="C39" s="620"/>
      <c r="D39" s="629"/>
      <c r="E39" s="624"/>
      <c r="F39" s="636"/>
      <c r="G39" s="98"/>
      <c r="H39" s="632"/>
      <c r="I39" s="96" t="s">
        <v>80</v>
      </c>
      <c r="J39" s="328">
        <f>VLOOKUP($B39, 'Hazard Values'!$G$6:$M$34, 6,FALSE )</f>
        <v>30</v>
      </c>
      <c r="K39" s="163">
        <f>IFERROR($H38/IF($J$4="Worker",$L$12,$L$13), "")</f>
        <v>283.01538461538462</v>
      </c>
      <c r="L39" s="51">
        <f>IFERROR($H38/(IF($J$4="Worker",$L$12,$L$13)/('List Values'!$D$14)), "")</f>
        <v>2830.1538461538466</v>
      </c>
      <c r="M39" s="51">
        <f>IFERROR($H38/(IF($J$4="Worker",$L$12,$L$13)/'List Values'!$D$15), "")</f>
        <v>7075.3846153846162</v>
      </c>
      <c r="N39" s="51">
        <f>IFERROR($H38/(IF($J$4="Worker",$L$12,$L$13)/'List Values'!$D$16), "")</f>
        <v>14150.769230769232</v>
      </c>
      <c r="O39" s="51">
        <f>IFERROR($H38/(IF($J$4="Worker",$L$12,$L$13)/'List Values'!$D$17), "")</f>
        <v>283015.38461538462</v>
      </c>
      <c r="P39" s="118">
        <f>IFERROR($H38/(IF($J$4="Worker",$L$12,$L$13)/'List Values'!$D$18), "")</f>
        <v>2830153.8461538465</v>
      </c>
      <c r="R39" s="594"/>
      <c r="S39" s="96" t="s">
        <v>35</v>
      </c>
      <c r="T39" s="456">
        <f>VLOOKUP($B39, 'Hazard Values'!$G$6:$M$34, 6,FALSE )</f>
        <v>30</v>
      </c>
      <c r="U39" s="51" t="str">
        <f>IFERROR($R38/V$19, "")</f>
        <v/>
      </c>
      <c r="V39" s="51">
        <f>IFERROR($R38/V$11, "")</f>
        <v>2.7285609789781642</v>
      </c>
      <c r="W39" s="51">
        <f>IFERROR($R38/V$13, "")</f>
        <v>13.642804894890821</v>
      </c>
      <c r="X39" s="51">
        <f>IFERROR($R38/V$15, "")</f>
        <v>27.285609789781642</v>
      </c>
      <c r="Y39" s="118">
        <f>IFERROR($R38/V$17, "")</f>
        <v>54.571219579563284</v>
      </c>
    </row>
    <row r="40" spans="2:25" s="30" customFormat="1" ht="12.75" customHeight="1" x14ac:dyDescent="0.35">
      <c r="B40" s="52" t="s">
        <v>99</v>
      </c>
      <c r="C40" s="620"/>
      <c r="D40" s="627" t="s">
        <v>173</v>
      </c>
      <c r="E40" s="623" t="s">
        <v>174</v>
      </c>
      <c r="F40" s="636"/>
      <c r="G40" s="98"/>
      <c r="H40" s="631">
        <f>VLOOKUP($B40,'Hazard Values'!$G$15:$N$34,3,FALSE)</f>
        <v>31</v>
      </c>
      <c r="I40" s="95" t="s">
        <v>32</v>
      </c>
      <c r="J40" s="327">
        <f>VLOOKUP($B40, 'Hazard Values'!$G$6:$M$34, 6,FALSE )</f>
        <v>30</v>
      </c>
      <c r="K40" s="50">
        <f>IFERROR($H40/IF($J$4="Worker",$L$10,$L$11), "")</f>
        <v>51.012031671190691</v>
      </c>
      <c r="L40" s="64">
        <f>IFERROR($H40/(IF($J$4="Worker",$L$10,$L$11)/'List Values'!$D$14), "")</f>
        <v>510.12031671190692</v>
      </c>
      <c r="M40" s="64">
        <f>IFERROR($H40/(IF($J$4="Worker",$L$10,$L$11)/'List Values'!$D$15), "")</f>
        <v>1275.3007917797672</v>
      </c>
      <c r="N40" s="64">
        <f>IFERROR($H40/(IF($J$4="Worker",$L$10,$L$11)/'List Values'!$D$16), "")</f>
        <v>2550.6015835595344</v>
      </c>
      <c r="O40" s="64">
        <f>IFERROR($H40/(IF($J$4="Worker",$L$10,$L$11)/'List Values'!$D$17), "")</f>
        <v>51012.031671190693</v>
      </c>
      <c r="P40" s="74">
        <f>IFERROR($H40/(IF($J$4="Worker",$L$10,$L$11)/'List Values'!$D$18), "")</f>
        <v>510120.31671190693</v>
      </c>
      <c r="R40" s="593">
        <f>IF(VLOOKUP($B40,'Hazard Values'!$G$15:$N$34,4,FALSE)=0,"No HED value for this endpoint",VLOOKUP($B40,'Hazard Values'!$G$15:$N$34,4,FALSE))</f>
        <v>24.5</v>
      </c>
      <c r="S40" s="97" t="s">
        <v>32</v>
      </c>
      <c r="T40" s="490">
        <f>VLOOKUP($B40, 'Hazard Values'!$G$6:$M$34, 6,FALSE )</f>
        <v>30</v>
      </c>
      <c r="U40" s="50" t="str">
        <f>IFERROR($R40/V$18, "")</f>
        <v/>
      </c>
      <c r="V40" s="50">
        <f>IFERROR($R40/V$10, "")</f>
        <v>10.128749088631059</v>
      </c>
      <c r="W40" s="50">
        <f>IFERROR($R40/V$12, "")</f>
        <v>50.643745443155296</v>
      </c>
      <c r="X40" s="50">
        <f>IFERROR($R40/V$14, "")</f>
        <v>101.28749088631059</v>
      </c>
      <c r="Y40" s="65">
        <f>IFERROR($R40/V$16, "")</f>
        <v>202.57498177262119</v>
      </c>
    </row>
    <row r="41" spans="2:25" s="30" customFormat="1" ht="12.75" customHeight="1" thickBot="1" x14ac:dyDescent="0.4">
      <c r="B41" s="52" t="s">
        <v>99</v>
      </c>
      <c r="C41" s="620"/>
      <c r="D41" s="628"/>
      <c r="E41" s="624"/>
      <c r="F41" s="637"/>
      <c r="G41" s="98"/>
      <c r="H41" s="632"/>
      <c r="I41" s="96" t="s">
        <v>80</v>
      </c>
      <c r="J41" s="328">
        <f>VLOOKUP($B41, 'Hazard Values'!$G$6:$M$34, 6,FALSE )</f>
        <v>30</v>
      </c>
      <c r="K41" s="163">
        <f>IFERROR($H40/IF($J$4="Worker",$L$12,$L$13), "")</f>
        <v>4177.8461538461543</v>
      </c>
      <c r="L41" s="51">
        <f>IFERROR($H40/(IF($J$4="Worker",$L$12,$L$13)/('List Values'!$D$14)), "")</f>
        <v>41778.461538461546</v>
      </c>
      <c r="M41" s="51">
        <f>IFERROR($H40/(IF($J$4="Worker",$L$12,$L$13)/'List Values'!$D$15), "")</f>
        <v>104446.15384615384</v>
      </c>
      <c r="N41" s="51">
        <f>IFERROR($H40/(IF($J$4="Worker",$L$12,$L$13)/'List Values'!$D$16), "")</f>
        <v>208892.30769230769</v>
      </c>
      <c r="O41" s="51">
        <f>IFERROR($H40/(IF($J$4="Worker",$L$12,$L$13)/'List Values'!$D$17), "")</f>
        <v>4177846.153846154</v>
      </c>
      <c r="P41" s="118">
        <f>IFERROR($H40/(IF($J$4="Worker",$L$12,$L$13)/'List Values'!$D$18), "")</f>
        <v>41778461.538461536</v>
      </c>
      <c r="R41" s="594"/>
      <c r="S41" s="96" t="s">
        <v>35</v>
      </c>
      <c r="T41" s="457">
        <f>VLOOKUP($B41, 'Hazard Values'!$G$6:$M$34, 6,FALSE )</f>
        <v>30</v>
      </c>
      <c r="U41" s="51" t="str">
        <f>IFERROR($R40/V$19, "")</f>
        <v/>
      </c>
      <c r="V41" s="51">
        <f>IFERROR($R40/V$11, "")</f>
        <v>30.386247265893189</v>
      </c>
      <c r="W41" s="51">
        <f>IFERROR($R40/V$13, "")</f>
        <v>151.93123632946595</v>
      </c>
      <c r="X41" s="51">
        <f>IFERROR($R40/V$15, "")</f>
        <v>303.86247265893189</v>
      </c>
      <c r="Y41" s="118">
        <f>IFERROR($R40/V$17, "")</f>
        <v>607.72494531786379</v>
      </c>
    </row>
    <row r="42" spans="2:25" s="30" customFormat="1" ht="19.5" customHeight="1" x14ac:dyDescent="0.35">
      <c r="B42" s="52" t="s">
        <v>101</v>
      </c>
      <c r="C42" s="620"/>
      <c r="D42" s="628"/>
      <c r="E42" s="623" t="s">
        <v>175</v>
      </c>
      <c r="F42" s="635" t="s">
        <v>176</v>
      </c>
      <c r="G42" s="98"/>
      <c r="H42" s="631">
        <f>VLOOKUP($B42,'Hazard Values'!$G$15:$N$34,3,FALSE)</f>
        <v>310</v>
      </c>
      <c r="I42" s="95" t="s">
        <v>32</v>
      </c>
      <c r="J42" s="327">
        <f>VLOOKUP($B42, 'Hazard Values'!$G$6:$M$34, 6,FALSE )</f>
        <v>300</v>
      </c>
      <c r="K42" s="50">
        <f>IFERROR($H42/IF($J$4="Worker",$L$10,$L$11), "")</f>
        <v>510.12031671190692</v>
      </c>
      <c r="L42" s="64">
        <f>IFERROR($H42/(IF($J$4="Worker",$L$10,$L$11)/'List Values'!$D$14), "")</f>
        <v>5101.2031671190689</v>
      </c>
      <c r="M42" s="64">
        <f>IFERROR($H42/(IF($J$4="Worker",$L$10,$L$11)/'List Values'!$D$15), "")</f>
        <v>12753.007917797673</v>
      </c>
      <c r="N42" s="64">
        <f>IFERROR($H42/(IF($J$4="Worker",$L$10,$L$11)/'List Values'!$D$16), "")</f>
        <v>25506.015835595346</v>
      </c>
      <c r="O42" s="64">
        <f>IFERROR($H42/(IF($J$4="Worker",$L$10,$L$11)/'List Values'!$D$17), "")</f>
        <v>510120.31671190693</v>
      </c>
      <c r="P42" s="74">
        <f>IFERROR($H42/(IF($J$4="Worker",$L$10,$L$11)/'List Values'!$D$18), "")</f>
        <v>5101203.167119069</v>
      </c>
      <c r="R42" s="593">
        <f>IF(VLOOKUP($B42,'Hazard Values'!$G$15:$N$34,4,FALSE)=0,"No HED value for this endpoint",VLOOKUP($B42,'Hazard Values'!$G$15:$N$34,4,FALSE))</f>
        <v>252</v>
      </c>
      <c r="S42" s="97" t="s">
        <v>32</v>
      </c>
      <c r="T42" s="233">
        <f>VLOOKUP($B42, 'Hazard Values'!$G$6:$M$34, 6,FALSE )</f>
        <v>300</v>
      </c>
      <c r="U42" s="50" t="str">
        <f>IFERROR($R42/V$18, "")</f>
        <v/>
      </c>
      <c r="V42" s="50">
        <f>IFERROR($R42/V$10, "")</f>
        <v>104.18141919734803</v>
      </c>
      <c r="W42" s="50">
        <f>IFERROR($R42/V$12, "")</f>
        <v>520.90709598674016</v>
      </c>
      <c r="X42" s="50">
        <f>IFERROR($R42/V$14, "")</f>
        <v>1041.8141919734803</v>
      </c>
      <c r="Y42" s="65">
        <f>IFERROR($R42/V$16, "")</f>
        <v>2083.6283839469606</v>
      </c>
    </row>
    <row r="43" spans="2:25" s="30" customFormat="1" ht="24" customHeight="1" thickBot="1" x14ac:dyDescent="0.4">
      <c r="B43" s="52" t="s">
        <v>101</v>
      </c>
      <c r="C43" s="620"/>
      <c r="D43" s="628"/>
      <c r="E43" s="624"/>
      <c r="F43" s="637"/>
      <c r="G43" s="98"/>
      <c r="H43" s="632"/>
      <c r="I43" s="96" t="s">
        <v>80</v>
      </c>
      <c r="J43" s="328">
        <f>VLOOKUP($B43, 'Hazard Values'!$G$6:$M$34, 6,FALSE )</f>
        <v>300</v>
      </c>
      <c r="K43" s="163">
        <f>IFERROR($H42/IF($J$4="Worker",$L$12,$L$13), "")</f>
        <v>41778.461538461539</v>
      </c>
      <c r="L43" s="51">
        <f>IFERROR($H42/(IF($J$4="Worker",$L$12,$L$13)/('List Values'!$D$14)), "")</f>
        <v>417784.61538461543</v>
      </c>
      <c r="M43" s="51">
        <f>IFERROR($H42/(IF($J$4="Worker",$L$12,$L$13)/'List Values'!$D$15), "")</f>
        <v>1044461.5384615385</v>
      </c>
      <c r="N43" s="51">
        <f>IFERROR($H42/(IF($J$4="Worker",$L$12,$L$13)/'List Values'!$D$16), "")</f>
        <v>2088923.076923077</v>
      </c>
      <c r="O43" s="51">
        <f>IFERROR($H42/(IF($J$4="Worker",$L$12,$L$13)/'List Values'!$D$17), "")</f>
        <v>41778461.538461544</v>
      </c>
      <c r="P43" s="118">
        <f>IFERROR($H42/(IF($J$4="Worker",$L$12,$L$13)/'List Values'!$D$18), "")</f>
        <v>417784615.38461536</v>
      </c>
      <c r="R43" s="594"/>
      <c r="S43" s="96" t="s">
        <v>35</v>
      </c>
      <c r="T43" s="456">
        <f>VLOOKUP($B43, 'Hazard Values'!$G$6:$M$34, 6,FALSE )</f>
        <v>300</v>
      </c>
      <c r="U43" s="51" t="str">
        <f>IFERROR($R42/V$19, "")</f>
        <v/>
      </c>
      <c r="V43" s="51">
        <f>IFERROR($R42/V$11, "")</f>
        <v>312.54425759204423</v>
      </c>
      <c r="W43" s="51">
        <f>IFERROR($R42/V$13, "")</f>
        <v>1562.7212879602212</v>
      </c>
      <c r="X43" s="51">
        <f>IFERROR($R42/V$15, "")</f>
        <v>3125.4425759204423</v>
      </c>
      <c r="Y43" s="118">
        <f>IFERROR($R42/V$17, "")</f>
        <v>6250.8851518408846</v>
      </c>
    </row>
    <row r="44" spans="2:25" s="30" customFormat="1" ht="12.75" customHeight="1" x14ac:dyDescent="0.35">
      <c r="B44" s="52" t="s">
        <v>103</v>
      </c>
      <c r="C44" s="620"/>
      <c r="D44" s="628"/>
      <c r="E44" s="623" t="s">
        <v>177</v>
      </c>
      <c r="F44" s="635" t="s">
        <v>178</v>
      </c>
      <c r="G44" s="98"/>
      <c r="H44" s="631">
        <f>VLOOKUP($B44,'Hazard Values'!$G$15:$N$34,3,FALSE)</f>
        <v>40</v>
      </c>
      <c r="I44" s="95" t="s">
        <v>32</v>
      </c>
      <c r="J44" s="327">
        <f>VLOOKUP($B44, 'Hazard Values'!$G$6:$M$34, 6,FALSE )</f>
        <v>300</v>
      </c>
      <c r="K44" s="50">
        <f>IFERROR($H44/IF($J$4="Worker",$L$10,$L$11), "")</f>
        <v>65.821976349923474</v>
      </c>
      <c r="L44" s="64">
        <f>IFERROR($H44/(IF($J$4="Worker",$L$10,$L$11)/'List Values'!$D$14), "")</f>
        <v>658.21976349923477</v>
      </c>
      <c r="M44" s="64">
        <f>IFERROR($H44/(IF($J$4="Worker",$L$10,$L$11)/'List Values'!$D$15), "")</f>
        <v>1645.5494087480868</v>
      </c>
      <c r="N44" s="64">
        <f>IFERROR($H44/(IF($J$4="Worker",$L$10,$L$11)/'List Values'!$D$16), "")</f>
        <v>3291.0988174961735</v>
      </c>
      <c r="O44" s="64">
        <f>IFERROR($H44/(IF($J$4="Worker",$L$10,$L$11)/'List Values'!$D$17), "")</f>
        <v>65821.976349923469</v>
      </c>
      <c r="P44" s="74">
        <f>IFERROR($H44/(IF($J$4="Worker",$L$10,$L$11)/'List Values'!$D$18), "")</f>
        <v>658219.76349923469</v>
      </c>
      <c r="R44" s="593">
        <f>IF(VLOOKUP($B44,'Hazard Values'!$G$15:$N$34,4,FALSE)=0,"No HED value for this endpoint",VLOOKUP($B44,'Hazard Values'!$G$15:$N$34,4,FALSE))</f>
        <v>32</v>
      </c>
      <c r="S44" s="97" t="s">
        <v>32</v>
      </c>
      <c r="T44" s="490">
        <f>VLOOKUP($B44, 'Hazard Values'!$G$6:$M$34, 6,FALSE )</f>
        <v>300</v>
      </c>
      <c r="U44" s="50" t="str">
        <f>IFERROR($R44/V$18, "")</f>
        <v/>
      </c>
      <c r="V44" s="50">
        <f>IFERROR($R44/V$10, "")</f>
        <v>13.229386564742608</v>
      </c>
      <c r="W44" s="50">
        <f>IFERROR($R44/V$12, "")</f>
        <v>66.146932823713044</v>
      </c>
      <c r="X44" s="50">
        <f>IFERROR($R44/V$14, "")</f>
        <v>132.29386564742609</v>
      </c>
      <c r="Y44" s="65">
        <f>IFERROR($R44/V$16, "")</f>
        <v>264.58773129485218</v>
      </c>
    </row>
    <row r="45" spans="2:25" s="30" customFormat="1" ht="12.75" customHeight="1" thickBot="1" x14ac:dyDescent="0.4">
      <c r="B45" s="52" t="s">
        <v>103</v>
      </c>
      <c r="C45" s="620"/>
      <c r="D45" s="629"/>
      <c r="E45" s="624"/>
      <c r="F45" s="637"/>
      <c r="G45" s="98"/>
      <c r="H45" s="632"/>
      <c r="I45" s="96" t="s">
        <v>80</v>
      </c>
      <c r="J45" s="328">
        <f>VLOOKUP($B45, 'Hazard Values'!$G$6:$M$34, 6,FALSE )</f>
        <v>300</v>
      </c>
      <c r="K45" s="163">
        <f>IFERROR($H44/IF($J$4="Worker",$L$12,$L$13), "")</f>
        <v>5390.7692307692314</v>
      </c>
      <c r="L45" s="51">
        <f>IFERROR($H44/(IF($J$4="Worker",$L$12,$L$13)/('List Values'!$D$14)), "")</f>
        <v>53907.692307692312</v>
      </c>
      <c r="M45" s="51">
        <f>IFERROR($H44/(IF($J$4="Worker",$L$12,$L$13)/'List Values'!$D$15), "")</f>
        <v>134769.23076923078</v>
      </c>
      <c r="N45" s="51">
        <f>IFERROR($H44/(IF($J$4="Worker",$L$12,$L$13)/'List Values'!$D$16), "")</f>
        <v>269538.46153846156</v>
      </c>
      <c r="O45" s="51">
        <f>IFERROR($H44/(IF($J$4="Worker",$L$12,$L$13)/'List Values'!$D$17), "")</f>
        <v>5390769.230769231</v>
      </c>
      <c r="P45" s="118">
        <f>IFERROR($H44/(IF($J$4="Worker",$L$12,$L$13)/'List Values'!$D$18), "")</f>
        <v>53907692.307692304</v>
      </c>
      <c r="R45" s="594"/>
      <c r="S45" s="96" t="s">
        <v>35</v>
      </c>
      <c r="T45" s="457">
        <f>VLOOKUP($B45, 'Hazard Values'!$G$6:$M$34, 6,FALSE )</f>
        <v>300</v>
      </c>
      <c r="U45" s="51" t="str">
        <f>IFERROR($R44/V$19, "")</f>
        <v/>
      </c>
      <c r="V45" s="51">
        <f>IFERROR($R44/V$11, "")</f>
        <v>39.688159694227835</v>
      </c>
      <c r="W45" s="51">
        <f>IFERROR($R44/V$13, "")</f>
        <v>198.44079847113917</v>
      </c>
      <c r="X45" s="51">
        <f>IFERROR($R44/V$15, "")</f>
        <v>396.88159694227835</v>
      </c>
      <c r="Y45" s="118">
        <f>IFERROR($R44/V$17, "")</f>
        <v>793.7631938845567</v>
      </c>
    </row>
    <row r="46" spans="2:25" s="30" customFormat="1" ht="12.75" customHeight="1" x14ac:dyDescent="0.35">
      <c r="B46" s="52" t="s">
        <v>105</v>
      </c>
      <c r="C46" s="620"/>
      <c r="D46" s="627" t="s">
        <v>179</v>
      </c>
      <c r="E46" s="623" t="s">
        <v>180</v>
      </c>
      <c r="F46" s="635" t="s">
        <v>181</v>
      </c>
      <c r="G46" s="98"/>
      <c r="H46" s="631">
        <f>VLOOKUP($B46,'Hazard Values'!$G$15:$N$34,3,FALSE)</f>
        <v>6.4</v>
      </c>
      <c r="I46" s="95" t="s">
        <v>32</v>
      </c>
      <c r="J46" s="327">
        <f>VLOOKUP($B46, 'Hazard Values'!$G$6:$M$34, 6,FALSE )</f>
        <v>100</v>
      </c>
      <c r="K46" s="50">
        <f>IFERROR($H46/IF($J$4="Worker",$L$10,$L$11), "")</f>
        <v>10.531516215987756</v>
      </c>
      <c r="L46" s="64">
        <f>IFERROR($H46/(IF($J$4="Worker",$L$10,$L$11)/'List Values'!$D$14), "")</f>
        <v>105.31516215987756</v>
      </c>
      <c r="M46" s="64">
        <f>IFERROR($H46/(IF($J$4="Worker",$L$10,$L$11)/'List Values'!$D$15), "")</f>
        <v>263.2879053996939</v>
      </c>
      <c r="N46" s="64">
        <f>IFERROR($H46/(IF($J$4="Worker",$L$10,$L$11)/'List Values'!$D$16), "")</f>
        <v>526.5758107993878</v>
      </c>
      <c r="O46" s="64">
        <f>IFERROR($H46/(IF($J$4="Worker",$L$10,$L$11)/'List Values'!$D$17), "")</f>
        <v>10531.516215987756</v>
      </c>
      <c r="P46" s="74">
        <f>IFERROR($H46/(IF($J$4="Worker",$L$10,$L$11)/'List Values'!$D$18), "")</f>
        <v>105315.16215987755</v>
      </c>
      <c r="R46" s="593">
        <f>IF(VLOOKUP($B46,'Hazard Values'!$G$15:$N$34,4,FALSE)=0,"No HED value for this endpoint",VLOOKUP($B46,'Hazard Values'!$G$15:$N$34,4,FALSE))</f>
        <v>6.8</v>
      </c>
      <c r="S46" s="97" t="s">
        <v>32</v>
      </c>
      <c r="T46" s="490">
        <f>VLOOKUP($B46, 'Hazard Values'!$G$6:$M$34, 6,FALSE )</f>
        <v>100</v>
      </c>
      <c r="U46" s="50" t="str">
        <f>IFERROR($R46/V$18, "")</f>
        <v/>
      </c>
      <c r="V46" s="50">
        <f>IFERROR($R46/V$10, "")</f>
        <v>2.8112446450078039</v>
      </c>
      <c r="W46" s="50">
        <f>IFERROR($R46/V$12, "")</f>
        <v>14.056223225039021</v>
      </c>
      <c r="X46" s="50">
        <f>IFERROR($R46/V$14, "")</f>
        <v>28.112446450078043</v>
      </c>
      <c r="Y46" s="65">
        <f>IFERROR($R46/V$16, "")</f>
        <v>56.224892900156085</v>
      </c>
    </row>
    <row r="47" spans="2:25" s="30" customFormat="1" ht="12.75" customHeight="1" thickBot="1" x14ac:dyDescent="0.4">
      <c r="B47" s="52" t="s">
        <v>105</v>
      </c>
      <c r="C47" s="620"/>
      <c r="D47" s="629"/>
      <c r="E47" s="624"/>
      <c r="F47" s="637"/>
      <c r="G47" s="98"/>
      <c r="H47" s="632"/>
      <c r="I47" s="96" t="s">
        <v>80</v>
      </c>
      <c r="J47" s="328">
        <f>VLOOKUP($B47, 'Hazard Values'!$G$6:$M$34, 6,FALSE )</f>
        <v>100</v>
      </c>
      <c r="K47" s="163">
        <f>IFERROR($H46/IF($J$4="Worker",$L$12,$L$13), "")</f>
        <v>862.52307692307704</v>
      </c>
      <c r="L47" s="51">
        <f>IFERROR($H46/(IF($J$4="Worker",$L$12,$L$13)/('List Values'!$D$14)), "")</f>
        <v>8625.2307692307713</v>
      </c>
      <c r="M47" s="51">
        <f>IFERROR($H46/(IF($J$4="Worker",$L$12,$L$13)/'List Values'!$D$15), "")</f>
        <v>21563.076923076926</v>
      </c>
      <c r="N47" s="51">
        <f>IFERROR($H46/(IF($J$4="Worker",$L$12,$L$13)/'List Values'!$D$16), "")</f>
        <v>43126.153846153851</v>
      </c>
      <c r="O47" s="51">
        <f>IFERROR($H46/(IF($J$4="Worker",$L$12,$L$13)/'List Values'!$D$17), "")</f>
        <v>862523.07692307699</v>
      </c>
      <c r="P47" s="118">
        <f>IFERROR($H46/(IF($J$4="Worker",$L$12,$L$13)/'List Values'!$D$18), "")</f>
        <v>8625230.7692307699</v>
      </c>
      <c r="R47" s="594"/>
      <c r="S47" s="96" t="s">
        <v>35</v>
      </c>
      <c r="T47" s="457">
        <f>VLOOKUP($B47, 'Hazard Values'!$G$6:$M$34, 6,FALSE )</f>
        <v>100</v>
      </c>
      <c r="U47" s="51" t="str">
        <f>IFERROR($R46/V$19, "")</f>
        <v/>
      </c>
      <c r="V47" s="51">
        <f>IFERROR($R46/V$11, "")</f>
        <v>8.4337339350234153</v>
      </c>
      <c r="W47" s="51">
        <f>IFERROR($R46/V$13, "")</f>
        <v>42.168669675117073</v>
      </c>
      <c r="X47" s="51">
        <f>IFERROR($R46/V$15, "")</f>
        <v>84.337339350234146</v>
      </c>
      <c r="Y47" s="118">
        <f>IFERROR($R46/V$17, "")</f>
        <v>168.67467870046829</v>
      </c>
    </row>
    <row r="48" spans="2:25" s="30" customFormat="1" ht="24" customHeight="1" x14ac:dyDescent="0.35">
      <c r="B48" s="52" t="s">
        <v>107</v>
      </c>
      <c r="C48" s="620"/>
      <c r="D48" s="627" t="s">
        <v>182</v>
      </c>
      <c r="E48" s="623" t="s">
        <v>183</v>
      </c>
      <c r="F48" s="635" t="s">
        <v>184</v>
      </c>
      <c r="G48" s="98"/>
      <c r="H48" s="631">
        <f>VLOOKUP($B48,'Hazard Values'!$G$15:$N$34,3,FALSE)</f>
        <v>21</v>
      </c>
      <c r="I48" s="97" t="s">
        <v>32</v>
      </c>
      <c r="J48" s="235">
        <f>VLOOKUP($B48, 'Hazard Values'!$G$6:$M$34, 6,FALSE )</f>
        <v>30</v>
      </c>
      <c r="K48" s="50">
        <f>IFERROR($H48/IF($J$4="Worker",$L$10,$L$11), "")</f>
        <v>34.556537583709826</v>
      </c>
      <c r="L48" s="64">
        <f>IFERROR($H48/(IF($J$4="Worker",$L$10,$L$11)/'List Values'!$D$14), "")</f>
        <v>345.5653758370982</v>
      </c>
      <c r="M48" s="64">
        <f>IFERROR($H48/(IF($J$4="Worker",$L$10,$L$11)/'List Values'!$D$15), "")</f>
        <v>863.91343959274559</v>
      </c>
      <c r="N48" s="64">
        <f>IFERROR($H48/(IF($J$4="Worker",$L$10,$L$11)/'List Values'!$D$16), "")</f>
        <v>1727.8268791854912</v>
      </c>
      <c r="O48" s="64">
        <f>IFERROR($H48/(IF($J$4="Worker",$L$10,$L$11)/'List Values'!$D$17), "")</f>
        <v>34556.537583709825</v>
      </c>
      <c r="P48" s="74">
        <f>IFERROR($H48/(IF($J$4="Worker",$L$10,$L$11)/'List Values'!$D$18), "")</f>
        <v>345565.37583709823</v>
      </c>
      <c r="R48" s="593">
        <f>IF(VLOOKUP($B48,'Hazard Values'!$G$15:$N$34,4,FALSE)=0,"No HED value for this endpoint",VLOOKUP($B48,'Hazard Values'!$G$15:$N$34,4,FALSE))</f>
        <v>22</v>
      </c>
      <c r="S48" s="97" t="s">
        <v>32</v>
      </c>
      <c r="T48" s="490">
        <f>VLOOKUP($B48, 'Hazard Values'!$G$6:$M$34, 6,FALSE )</f>
        <v>30</v>
      </c>
      <c r="U48" s="50" t="str">
        <f>IFERROR($R48/V$18, "")</f>
        <v/>
      </c>
      <c r="V48" s="50">
        <f>IFERROR($R48/V$10, "")</f>
        <v>9.0952032632605437</v>
      </c>
      <c r="W48" s="50">
        <f>IFERROR($R48/V$12, "")</f>
        <v>45.476016316302719</v>
      </c>
      <c r="X48" s="50">
        <f>IFERROR($R48/V$14, "")</f>
        <v>90.952032632605437</v>
      </c>
      <c r="Y48" s="65">
        <f>IFERROR($R48/V$16, "")</f>
        <v>181.90406526521087</v>
      </c>
    </row>
    <row r="49" spans="1:25" s="30" customFormat="1" ht="20.25" customHeight="1" thickBot="1" x14ac:dyDescent="0.4">
      <c r="B49" s="52" t="s">
        <v>107</v>
      </c>
      <c r="C49" s="620"/>
      <c r="D49" s="629"/>
      <c r="E49" s="624"/>
      <c r="F49" s="637"/>
      <c r="G49" s="98"/>
      <c r="H49" s="632"/>
      <c r="I49" s="96" t="s">
        <v>80</v>
      </c>
      <c r="J49" s="173">
        <f>VLOOKUP($B49, 'Hazard Values'!$G$6:$M$34, 6,FALSE )</f>
        <v>30</v>
      </c>
      <c r="K49" s="163">
        <f>IFERROR($H48/IF($J$4="Worker",$L$12,$L$13), "")</f>
        <v>2830.1538461538462</v>
      </c>
      <c r="L49" s="51">
        <f>IFERROR($H48/(IF($J$4="Worker",$L$12,$L$13)/('List Values'!$D$14)), "")</f>
        <v>28301.538461538465</v>
      </c>
      <c r="M49" s="51">
        <f>IFERROR($H48/(IF($J$4="Worker",$L$12,$L$13)/'List Values'!$D$15), "")</f>
        <v>70753.846153846156</v>
      </c>
      <c r="N49" s="51">
        <f>IFERROR($H48/(IF($J$4="Worker",$L$12,$L$13)/'List Values'!$D$16), "")</f>
        <v>141507.69230769231</v>
      </c>
      <c r="O49" s="51">
        <f>IFERROR($H48/(IF($J$4="Worker",$L$12,$L$13)/'List Values'!$D$17), "")</f>
        <v>2830153.8461538465</v>
      </c>
      <c r="P49" s="118">
        <f>IFERROR($H48/(IF($J$4="Worker",$L$12,$L$13)/'List Values'!$D$18), "")</f>
        <v>28301538.46153846</v>
      </c>
      <c r="R49" s="594"/>
      <c r="S49" s="96" t="s">
        <v>35</v>
      </c>
      <c r="T49" s="457">
        <f>VLOOKUP($B49, 'Hazard Values'!$G$6:$M$34, 6,FALSE )</f>
        <v>30</v>
      </c>
      <c r="U49" s="51" t="str">
        <f>IFERROR($R48/V$19, "")</f>
        <v/>
      </c>
      <c r="V49" s="51">
        <f>IFERROR($R48/V$11, "")</f>
        <v>27.285609789781638</v>
      </c>
      <c r="W49" s="51">
        <f>IFERROR($R48/V$13, "")</f>
        <v>136.42804894890818</v>
      </c>
      <c r="X49" s="51">
        <f>IFERROR($R48/V$15, "")</f>
        <v>272.85609789781637</v>
      </c>
      <c r="Y49" s="118">
        <f>IFERROR($R48/V$17, "")</f>
        <v>545.71219579563274</v>
      </c>
    </row>
    <row r="50" spans="1:25" s="30" customFormat="1" ht="21.75" customHeight="1" x14ac:dyDescent="0.35">
      <c r="B50" s="52" t="s">
        <v>109</v>
      </c>
      <c r="C50" s="620"/>
      <c r="D50" s="627" t="s">
        <v>185</v>
      </c>
      <c r="E50" s="623" t="s">
        <v>186</v>
      </c>
      <c r="F50" s="635" t="s">
        <v>187</v>
      </c>
      <c r="G50" s="98"/>
      <c r="H50" s="631">
        <f>VLOOKUP($B50,'Hazard Values'!$G$15:$N$34,3,FALSE)</f>
        <v>29</v>
      </c>
      <c r="I50" s="97" t="s">
        <v>32</v>
      </c>
      <c r="J50" s="235">
        <f>VLOOKUP($B50, 'Hazard Values'!$G$6:$M$34, 6,FALSE )</f>
        <v>30</v>
      </c>
      <c r="K50" s="50">
        <f>IFERROR($H50/IF($J$4="Worker",$L$10,$L$11), "")</f>
        <v>47.720932853694521</v>
      </c>
      <c r="L50" s="64">
        <f>IFERROR($H50/(IF($J$4="Worker",$L$10,$L$11)/'List Values'!$D$14), "")</f>
        <v>477.20932853694518</v>
      </c>
      <c r="M50" s="64">
        <f>IFERROR($H50/(IF($J$4="Worker",$L$10,$L$11)/'List Values'!$D$15), "")</f>
        <v>1193.0233213423628</v>
      </c>
      <c r="N50" s="64">
        <f>IFERROR($H50/(IF($J$4="Worker",$L$10,$L$11)/'List Values'!$D$16), "")</f>
        <v>2386.0466426847256</v>
      </c>
      <c r="O50" s="64">
        <f>IFERROR($H50/(IF($J$4="Worker",$L$10,$L$11)/'List Values'!$D$17), "")</f>
        <v>47720.932853694518</v>
      </c>
      <c r="P50" s="74">
        <f>IFERROR($H50/(IF($J$4="Worker",$L$10,$L$11)/'List Values'!$D$18), "")</f>
        <v>477209.32853694516</v>
      </c>
      <c r="R50" s="593">
        <f>IF(VLOOKUP($B50,'Hazard Values'!$G$15:$N$34,4,FALSE)=0,"No HED value for this endpoint",VLOOKUP($B50,'Hazard Values'!$G$15:$N$34,4,FALSE))</f>
        <v>50</v>
      </c>
      <c r="S50" s="97" t="s">
        <v>32</v>
      </c>
      <c r="T50" s="233">
        <f>VLOOKUP($B50, 'Hazard Values'!$G$6:$M$34, 6,FALSE )</f>
        <v>30</v>
      </c>
      <c r="U50" s="50" t="str">
        <f>IFERROR($R50/V$18, "")</f>
        <v/>
      </c>
      <c r="V50" s="50">
        <f>IFERROR($R50/V$10, "")</f>
        <v>20.670916507410325</v>
      </c>
      <c r="W50" s="50">
        <f>IFERROR($R50/V$12, "")</f>
        <v>103.35458253705163</v>
      </c>
      <c r="X50" s="50">
        <f>IFERROR($R50/V$14, "")</f>
        <v>206.70916507410325</v>
      </c>
      <c r="Y50" s="65">
        <f>IFERROR($R50/V$16, "")</f>
        <v>413.41833014820651</v>
      </c>
    </row>
    <row r="51" spans="1:25" s="30" customFormat="1" ht="21.75" customHeight="1" thickBot="1" x14ac:dyDescent="0.4">
      <c r="B51" s="52" t="s">
        <v>109</v>
      </c>
      <c r="C51" s="620"/>
      <c r="D51" s="628"/>
      <c r="E51" s="630"/>
      <c r="F51" s="637"/>
      <c r="G51" s="98"/>
      <c r="H51" s="632"/>
      <c r="I51" s="96" t="s">
        <v>80</v>
      </c>
      <c r="J51" s="458">
        <f>VLOOKUP($B51, 'Hazard Values'!$G$6:$M$34, 6,FALSE )</f>
        <v>30</v>
      </c>
      <c r="K51" s="163">
        <f>IFERROR($H50/IF($J$4="Worker",$L$12,$L$13), "")</f>
        <v>3908.3076923076924</v>
      </c>
      <c r="L51" s="51">
        <f>IFERROR($H50/(IF($J$4="Worker",$L$12,$L$13)/('List Values'!$D$14)), "")</f>
        <v>39083.076923076929</v>
      </c>
      <c r="M51" s="51">
        <f>IFERROR($H50/(IF($J$4="Worker",$L$12,$L$13)/'List Values'!$D$15), "")</f>
        <v>97707.692307692312</v>
      </c>
      <c r="N51" s="51">
        <f>IFERROR($H50/(IF($J$4="Worker",$L$12,$L$13)/'List Values'!$D$16), "")</f>
        <v>195415.38461538462</v>
      </c>
      <c r="O51" s="51">
        <f>IFERROR($H50/(IF($J$4="Worker",$L$12,$L$13)/'List Values'!$D$17), "")</f>
        <v>3908307.6923076925</v>
      </c>
      <c r="P51" s="118">
        <f>IFERROR($H50/(IF($J$4="Worker",$L$12,$L$13)/'List Values'!$D$18), "")</f>
        <v>39083076.92307692</v>
      </c>
      <c r="R51" s="594"/>
      <c r="S51" s="96" t="s">
        <v>35</v>
      </c>
      <c r="T51" s="456">
        <f>VLOOKUP($B51, 'Hazard Values'!$G$6:$M$34, 6,FALSE )</f>
        <v>30</v>
      </c>
      <c r="U51" s="51" t="str">
        <f>IFERROR($R50/V$19, "")</f>
        <v/>
      </c>
      <c r="V51" s="51">
        <f>IFERROR($R50/V$11, "")</f>
        <v>62.012749522230997</v>
      </c>
      <c r="W51" s="51">
        <f>IFERROR($R50/V$13, "")</f>
        <v>310.06374761115495</v>
      </c>
      <c r="X51" s="51">
        <f>IFERROR($R50/V$15, "")</f>
        <v>620.1274952223099</v>
      </c>
      <c r="Y51" s="118">
        <f>IFERROR($R50/V$17, "")</f>
        <v>1240.2549904446198</v>
      </c>
    </row>
    <row r="52" spans="1:25" s="30" customFormat="1" ht="21.75" customHeight="1" x14ac:dyDescent="0.35">
      <c r="B52" s="52" t="s">
        <v>111</v>
      </c>
      <c r="C52" s="620"/>
      <c r="D52" s="628"/>
      <c r="E52" s="623" t="s">
        <v>188</v>
      </c>
      <c r="F52" s="635" t="s">
        <v>189</v>
      </c>
      <c r="G52" s="98"/>
      <c r="H52" s="631">
        <f>VLOOKUP($B52,'Hazard Values'!$G$15:$N$34,3,FALSE)</f>
        <v>18</v>
      </c>
      <c r="I52" s="97" t="s">
        <v>32</v>
      </c>
      <c r="J52" s="235">
        <f>VLOOKUP($B52, 'Hazard Values'!$G$6:$M$34, 6,FALSE )</f>
        <v>30</v>
      </c>
      <c r="K52" s="50">
        <f>IFERROR($H52/IF($J$4="Worker",$L$10,$L$11), "")</f>
        <v>29.619889357465564</v>
      </c>
      <c r="L52" s="64">
        <f>IFERROR($H52/(IF($J$4="Worker",$L$10,$L$11)/'List Values'!$D$14), "")</f>
        <v>296.19889357465564</v>
      </c>
      <c r="M52" s="64">
        <f>IFERROR($H52/(IF($J$4="Worker",$L$10,$L$11)/'List Values'!$D$15), "")</f>
        <v>740.49723393663908</v>
      </c>
      <c r="N52" s="64">
        <f>IFERROR($H52/(IF($J$4="Worker",$L$10,$L$11)/'List Values'!$D$16), "")</f>
        <v>1480.9944678732782</v>
      </c>
      <c r="O52" s="64">
        <f>IFERROR($H52/(IF($J$4="Worker",$L$10,$L$11)/'List Values'!$D$17), "")</f>
        <v>29619.889357465563</v>
      </c>
      <c r="P52" s="74">
        <f>IFERROR($H52/(IF($J$4="Worker",$L$10,$L$11)/'List Values'!$D$18), "")</f>
        <v>296198.89357465564</v>
      </c>
      <c r="R52" s="593">
        <f>IF(VLOOKUP($B52,'Hazard Values'!$G$15:$N$34,4,FALSE)=0,"No HED value for this endpoint",VLOOKUP($B52,'Hazard Values'!$G$15:$N$34,4,FALSE))</f>
        <v>31</v>
      </c>
      <c r="S52" s="97" t="s">
        <v>32</v>
      </c>
      <c r="T52" s="490">
        <f>VLOOKUP($B52, 'Hazard Values'!$G$6:$M$34, 6,FALSE )</f>
        <v>30</v>
      </c>
      <c r="U52" s="50" t="str">
        <f>IFERROR($R52/V$18, "")</f>
        <v/>
      </c>
      <c r="V52" s="50">
        <f>IFERROR($R52/V$10, "")</f>
        <v>12.815968234594401</v>
      </c>
      <c r="W52" s="50">
        <f>IFERROR($R52/V$12, "")</f>
        <v>64.07984117297201</v>
      </c>
      <c r="X52" s="50">
        <f>IFERROR($R52/V$14, "")</f>
        <v>128.15968234594402</v>
      </c>
      <c r="Y52" s="65">
        <f>IFERROR($R52/V$16, "")</f>
        <v>256.31936469188804</v>
      </c>
    </row>
    <row r="53" spans="1:25" s="30" customFormat="1" ht="21.75" customHeight="1" thickBot="1" x14ac:dyDescent="0.4">
      <c r="B53" s="52" t="s">
        <v>111</v>
      </c>
      <c r="C53" s="620"/>
      <c r="D53" s="628"/>
      <c r="E53" s="624"/>
      <c r="F53" s="637"/>
      <c r="G53" s="98"/>
      <c r="H53" s="632"/>
      <c r="I53" s="96" t="s">
        <v>80</v>
      </c>
      <c r="J53" s="328">
        <f>VLOOKUP($B53, 'Hazard Values'!$G$6:$M$34, 6,FALSE )</f>
        <v>30</v>
      </c>
      <c r="K53" s="163">
        <f>IFERROR($H52/IF($J$4="Worker",$L$12,$L$13), "")</f>
        <v>2425.8461538461538</v>
      </c>
      <c r="L53" s="51">
        <f>IFERROR($H52/(IF($J$4="Worker",$L$12,$L$13)/('List Values'!$D$14)), "")</f>
        <v>24258.461538461543</v>
      </c>
      <c r="M53" s="51">
        <f>IFERROR($H52/(IF($J$4="Worker",$L$12,$L$13)/'List Values'!$D$15), "")</f>
        <v>60646.153846153851</v>
      </c>
      <c r="N53" s="51">
        <f>IFERROR($H52/(IF($J$4="Worker",$L$12,$L$13)/'List Values'!$D$16), "")</f>
        <v>121292.3076923077</v>
      </c>
      <c r="O53" s="51">
        <f>IFERROR($H52/(IF($J$4="Worker",$L$12,$L$13)/'List Values'!$D$17), "")</f>
        <v>2425846.153846154</v>
      </c>
      <c r="P53" s="118">
        <f>IFERROR($H52/(IF($J$4="Worker",$L$12,$L$13)/'List Values'!$D$18), "")</f>
        <v>24258461.53846154</v>
      </c>
      <c r="R53" s="594"/>
      <c r="S53" s="96" t="s">
        <v>35</v>
      </c>
      <c r="T53" s="457">
        <f>VLOOKUP($B53, 'Hazard Values'!$G$6:$M$34, 6,FALSE )</f>
        <v>30</v>
      </c>
      <c r="U53" s="51" t="str">
        <f>IFERROR($R52/V$19, "")</f>
        <v/>
      </c>
      <c r="V53" s="51">
        <f>IFERROR($R52/V$11, "")</f>
        <v>38.447904703783216</v>
      </c>
      <c r="W53" s="51">
        <f>IFERROR($R52/V$13, "")</f>
        <v>192.23952351891609</v>
      </c>
      <c r="X53" s="51">
        <f>IFERROR($R52/V$15, "")</f>
        <v>384.47904703783217</v>
      </c>
      <c r="Y53" s="118">
        <f>IFERROR($R52/V$17, "")</f>
        <v>768.95809407566435</v>
      </c>
    </row>
    <row r="54" spans="1:25" s="30" customFormat="1" ht="21.75" customHeight="1" x14ac:dyDescent="0.35">
      <c r="B54" s="52" t="s">
        <v>113</v>
      </c>
      <c r="C54" s="620"/>
      <c r="D54" s="628"/>
      <c r="E54" s="623" t="s">
        <v>190</v>
      </c>
      <c r="F54" s="636" t="s">
        <v>191</v>
      </c>
      <c r="G54" s="98"/>
      <c r="H54" s="631">
        <f>VLOOKUP($B54,'Hazard Values'!$G$15:$N$34,3,FALSE)</f>
        <v>16</v>
      </c>
      <c r="I54" s="455" t="s">
        <v>32</v>
      </c>
      <c r="J54" s="235">
        <f>VLOOKUP($B54, 'Hazard Values'!$G$6:$M$34, 6,FALSE )</f>
        <v>30</v>
      </c>
      <c r="K54" s="50">
        <f>IFERROR($H54/IF($J$4="Worker",$L$10,$L$11), "")</f>
        <v>26.32879053996939</v>
      </c>
      <c r="L54" s="64">
        <f>IFERROR($H54/(IF($J$4="Worker",$L$10,$L$11)/'List Values'!$D$14), "")</f>
        <v>263.2879053996939</v>
      </c>
      <c r="M54" s="64">
        <f>IFERROR($H54/(IF($J$4="Worker",$L$10,$L$11)/'List Values'!$D$15), "")</f>
        <v>658.21976349923466</v>
      </c>
      <c r="N54" s="64">
        <f>IFERROR($H54/(IF($J$4="Worker",$L$10,$L$11)/'List Values'!$D$16), "")</f>
        <v>1316.4395269984693</v>
      </c>
      <c r="O54" s="64">
        <f>IFERROR($H54/(IF($J$4="Worker",$L$10,$L$11)/'List Values'!$D$17), "")</f>
        <v>26328.790539969388</v>
      </c>
      <c r="P54" s="74">
        <f>IFERROR($H54/(IF($J$4="Worker",$L$10,$L$11)/'List Values'!$D$18), "")</f>
        <v>263287.90539969387</v>
      </c>
      <c r="R54" s="593">
        <f>IF(VLOOKUP($B54,'Hazard Values'!$G$15:$N$34,4,FALSE)=0,"No HED value for this endpoint",VLOOKUP($B54,'Hazard Values'!$G$15:$N$34,4,FALSE))</f>
        <v>28</v>
      </c>
      <c r="S54" s="97" t="s">
        <v>32</v>
      </c>
      <c r="T54" s="233">
        <f>VLOOKUP($B54, 'Hazard Values'!$G$6:$M$34, 6,FALSE )</f>
        <v>30</v>
      </c>
      <c r="U54" s="50" t="str">
        <f>IFERROR($R54/V$18, "")</f>
        <v/>
      </c>
      <c r="V54" s="50">
        <f>IFERROR($R54/V$10, "")</f>
        <v>11.575713244149782</v>
      </c>
      <c r="W54" s="50">
        <f>IFERROR($R54/V$12, "")</f>
        <v>57.878566220748915</v>
      </c>
      <c r="X54" s="50">
        <f>IFERROR($R54/V$14, "")</f>
        <v>115.75713244149783</v>
      </c>
      <c r="Y54" s="65">
        <f>IFERROR($R54/V$16, "")</f>
        <v>231.51426488299566</v>
      </c>
    </row>
    <row r="55" spans="1:25" s="30" customFormat="1" ht="23.25" customHeight="1" thickBot="1" x14ac:dyDescent="0.4">
      <c r="B55" s="52" t="s">
        <v>113</v>
      </c>
      <c r="C55" s="619"/>
      <c r="D55" s="626"/>
      <c r="E55" s="624"/>
      <c r="F55" s="638"/>
      <c r="G55" s="98"/>
      <c r="H55" s="632"/>
      <c r="I55" s="96" t="s">
        <v>80</v>
      </c>
      <c r="J55" s="328">
        <f>VLOOKUP($B55, 'Hazard Values'!$G$6:$M$34, 6,FALSE )</f>
        <v>30</v>
      </c>
      <c r="K55" s="163">
        <f>IFERROR($H54/IF($J$4="Worker",$L$12,$L$13), "")</f>
        <v>2156.3076923076924</v>
      </c>
      <c r="L55" s="51">
        <f>IFERROR($H54/(IF($J$4="Worker",$L$12,$L$13)/('List Values'!$D$14)), "")</f>
        <v>21563.076923076926</v>
      </c>
      <c r="M55" s="51">
        <f>IFERROR($H54/(IF($J$4="Worker",$L$12,$L$13)/'List Values'!$D$15), "")</f>
        <v>53907.692307692312</v>
      </c>
      <c r="N55" s="51">
        <f>IFERROR($H54/(IF($J$4="Worker",$L$12,$L$13)/'List Values'!$D$16), "")</f>
        <v>107815.38461538462</v>
      </c>
      <c r="O55" s="51">
        <f>IFERROR($H54/(IF($J$4="Worker",$L$12,$L$13)/'List Values'!$D$17), "")</f>
        <v>2156307.6923076925</v>
      </c>
      <c r="P55" s="118">
        <f>IFERROR($H54/(IF($J$4="Worker",$L$12,$L$13)/'List Values'!$D$18), "")</f>
        <v>21563076.923076924</v>
      </c>
      <c r="R55" s="594"/>
      <c r="S55" s="96" t="s">
        <v>35</v>
      </c>
      <c r="T55" s="233">
        <f>VLOOKUP($B55, 'Hazard Values'!$G$6:$M$34, 6,FALSE )</f>
        <v>30</v>
      </c>
      <c r="U55" s="51" t="str">
        <f>IFERROR($R54/V$19, "")</f>
        <v/>
      </c>
      <c r="V55" s="51">
        <f>IFERROR($R54/V$11, "")</f>
        <v>34.727139732449359</v>
      </c>
      <c r="W55" s="51">
        <f>IFERROR($R54/V$13, "")</f>
        <v>173.6356986622468</v>
      </c>
      <c r="X55" s="51">
        <f>IFERROR($R54/V$15, "")</f>
        <v>347.27139732449359</v>
      </c>
      <c r="Y55" s="118">
        <f>IFERROR($R54/V$17, "")</f>
        <v>694.54279464898718</v>
      </c>
    </row>
    <row r="56" spans="1:25" s="30" customFormat="1" ht="15" customHeight="1" x14ac:dyDescent="0.35">
      <c r="B56" s="52" t="s">
        <v>126</v>
      </c>
      <c r="C56" s="618" t="s">
        <v>192</v>
      </c>
      <c r="D56" s="625" t="s">
        <v>193</v>
      </c>
      <c r="E56" s="621" t="s">
        <v>194</v>
      </c>
      <c r="F56" s="633" t="s">
        <v>171</v>
      </c>
      <c r="G56" s="98"/>
      <c r="H56" s="639">
        <f>VLOOKUP($B56,'Hazard Values'!$G$6:$M$34, 7,FALSE)</f>
        <v>2E-3</v>
      </c>
      <c r="I56" s="414" t="s">
        <v>32</v>
      </c>
      <c r="J56" s="595" t="s">
        <v>195</v>
      </c>
      <c r="K56" s="169">
        <f>IFERROR($H56*IF($J$4="Worker",$M$10,$M$11), "")</f>
        <v>6.2328181711743334E-4</v>
      </c>
      <c r="L56" s="50">
        <f>IFERROR($H56*(IF($J$4="Worker",$M$10,$M$11)/('List Values'!$D$14)),"")</f>
        <v>6.2328181711743339E-5</v>
      </c>
      <c r="M56" s="169">
        <f>IFERROR($H56*(IF($J$4="Worker",$M$10,$M$11)/('List Values'!$D$15)),"")</f>
        <v>2.4931272684697334E-5</v>
      </c>
      <c r="N56" s="50">
        <f>IFERROR($H56*(IF($J$4="Worker",$M$10,$M$11)/('List Values'!$D$16)),"")</f>
        <v>1.2465636342348667E-5</v>
      </c>
      <c r="O56" s="50">
        <f>IFERROR($H56*(IF($J$4="Worker",$M$10,$M$11)/('List Values'!$D$17)),"")</f>
        <v>6.2328181711743332E-7</v>
      </c>
      <c r="P56" s="65">
        <f>IFERROR($H56*(IF($J$4="Worker",$M$10,$M$11)/('List Values'!$D$18)),"")</f>
        <v>6.2328181711743345E-8</v>
      </c>
      <c r="R56" s="598">
        <f>VLOOKUP($B56,'Hazard Values'!$G$6:$N$34,8, FALSE)</f>
        <v>2E-3</v>
      </c>
      <c r="S56" s="97" t="s">
        <v>32</v>
      </c>
      <c r="T56" s="597" t="s">
        <v>195</v>
      </c>
      <c r="U56" s="50" t="str">
        <f>IFERROR($R56*$W18, "")</f>
        <v/>
      </c>
      <c r="V56" s="50">
        <f>IFERROR($R56*$W10, "")</f>
        <v>2.4808794164335752E-3</v>
      </c>
      <c r="W56" s="50">
        <f>IFERROR($R56*$W12, "")</f>
        <v>4.96175883286715E-4</v>
      </c>
      <c r="X56" s="50">
        <f>IFERROR($R56*$W14, "")</f>
        <v>2.480879416433575E-4</v>
      </c>
      <c r="Y56" s="65">
        <f>IFERROR($R56*$W16, "")</f>
        <v>1.2404397082167875E-4</v>
      </c>
    </row>
    <row r="57" spans="1:25" s="30" customFormat="1" ht="15.75" customHeight="1" thickBot="1" x14ac:dyDescent="0.4">
      <c r="B57" s="52" t="s">
        <v>126</v>
      </c>
      <c r="C57" s="619"/>
      <c r="D57" s="626"/>
      <c r="E57" s="622"/>
      <c r="F57" s="634"/>
      <c r="G57" s="162"/>
      <c r="H57" s="640"/>
      <c r="I57" s="121" t="s">
        <v>35</v>
      </c>
      <c r="J57" s="596"/>
      <c r="K57" s="171">
        <f>IFERROR($H56*IF($J$4="Worker",$M$12,$M$13), "")</f>
        <v>5.8980213089802127E-6</v>
      </c>
      <c r="L57" s="415">
        <f>IFERROR($H56*(IF($J$4="Worker",$M$12,$M$13)/('List Values'!$D$14)),"")</f>
        <v>5.8980213089802131E-7</v>
      </c>
      <c r="M57" s="415">
        <f>IFERROR($H56*(IF($J$4="Worker",$M$12,$M$13)/('List Values'!$D$15)),"")</f>
        <v>2.3592085235920849E-7</v>
      </c>
      <c r="N57" s="415">
        <f>IFERROR($H56*(IF($J$4="Worker",$M$12,$M$13)/('List Values'!$D$16)),"")</f>
        <v>1.1796042617960425E-7</v>
      </c>
      <c r="O57" s="415">
        <f>IFERROR($H56*(IF($J$4="Worker",$M$12,$M$13)/('List Values'!$D$17)),"")</f>
        <v>5.898021308980213E-9</v>
      </c>
      <c r="P57" s="416">
        <f>IFERROR($H56*(IF($J$4="Worker",$M$12,$M$13)/('List Values'!$D$18)),"")</f>
        <v>5.8980213089802134E-10</v>
      </c>
      <c r="R57" s="599"/>
      <c r="S57" s="96" t="s">
        <v>35</v>
      </c>
      <c r="T57" s="596"/>
      <c r="U57" s="51" t="str">
        <f>IFERROR($R56*$W19, "")</f>
        <v/>
      </c>
      <c r="V57" s="51">
        <f>IFERROR($R56*$W11, "")</f>
        <v>6.4089384924533998E-4</v>
      </c>
      <c r="W57" s="51">
        <f>IFERROR($R56*$W13, "")</f>
        <v>1.2817876984906802E-4</v>
      </c>
      <c r="X57" s="51">
        <f>IFERROR($R56*$W15, "")</f>
        <v>6.4089384924534008E-5</v>
      </c>
      <c r="Y57" s="118">
        <f>IFERROR($R56*$W17, "")</f>
        <v>3.2044692462267004E-5</v>
      </c>
    </row>
    <row r="58" spans="1:25" s="29" customFormat="1" x14ac:dyDescent="0.35">
      <c r="B58" s="83"/>
      <c r="C58" s="55"/>
      <c r="D58" s="84"/>
      <c r="E58" s="55"/>
      <c r="F58" s="234"/>
      <c r="G58" s="82"/>
      <c r="H58" s="82"/>
      <c r="I58" s="82"/>
      <c r="J58" s="82"/>
      <c r="K58" s="82"/>
      <c r="L58" s="82"/>
      <c r="M58" s="82"/>
      <c r="O58" s="82"/>
      <c r="P58" s="82"/>
      <c r="R58" s="82"/>
    </row>
    <row r="59" spans="1:25" s="29" customFormat="1" x14ac:dyDescent="0.35">
      <c r="B59" s="83"/>
      <c r="C59" s="55"/>
      <c r="D59" s="84"/>
      <c r="E59" s="55"/>
      <c r="F59" s="55"/>
      <c r="G59" s="82"/>
      <c r="H59" s="82"/>
      <c r="I59" s="82"/>
      <c r="J59" s="82"/>
      <c r="K59" s="82"/>
      <c r="L59" s="82"/>
      <c r="M59" s="82"/>
      <c r="N59" s="82"/>
      <c r="O59" s="82"/>
      <c r="P59" s="82"/>
      <c r="R59" s="82"/>
    </row>
    <row r="60" spans="1:25" s="29" customFormat="1" x14ac:dyDescent="0.35">
      <c r="B60" s="83"/>
      <c r="C60" s="55"/>
      <c r="D60" s="84"/>
      <c r="E60" s="55"/>
      <c r="F60" s="55"/>
      <c r="G60" s="82"/>
      <c r="H60" s="82"/>
      <c r="I60" s="82"/>
      <c r="J60" s="82"/>
      <c r="K60" s="82"/>
      <c r="L60" s="82"/>
      <c r="M60" s="82"/>
      <c r="N60" s="82"/>
      <c r="O60" s="82"/>
      <c r="P60" s="82"/>
      <c r="R60" s="82"/>
      <c r="S60" s="82"/>
    </row>
    <row r="61" spans="1:25" s="29" customFormat="1" x14ac:dyDescent="0.35">
      <c r="A61" s="82"/>
      <c r="B61" s="83"/>
      <c r="C61" s="55"/>
      <c r="D61" s="84"/>
      <c r="E61" s="55"/>
      <c r="F61" s="55"/>
      <c r="G61" s="82"/>
      <c r="H61" s="82"/>
      <c r="I61" s="82"/>
      <c r="J61" s="82"/>
      <c r="K61" s="82"/>
      <c r="L61" s="82"/>
      <c r="M61" s="82"/>
      <c r="N61" s="82"/>
      <c r="O61" s="82"/>
      <c r="P61" s="82"/>
      <c r="R61" s="82"/>
      <c r="S61" s="82"/>
    </row>
    <row r="66" spans="1:20" x14ac:dyDescent="0.35">
      <c r="I66" s="29"/>
      <c r="J66" s="29"/>
      <c r="K66" s="29"/>
      <c r="L66" s="29"/>
      <c r="M66" s="29"/>
    </row>
    <row r="71" spans="1:20" x14ac:dyDescent="0.35">
      <c r="O71" s="29"/>
      <c r="P71" s="29"/>
    </row>
    <row r="72" spans="1:20" x14ac:dyDescent="0.35">
      <c r="C72" s="52"/>
      <c r="D72" s="236"/>
      <c r="E72" s="52"/>
      <c r="F72" s="52"/>
      <c r="G72" s="29"/>
      <c r="H72" s="29"/>
    </row>
    <row r="73" spans="1:20" x14ac:dyDescent="0.35">
      <c r="R73" s="29"/>
    </row>
    <row r="74" spans="1:20" x14ac:dyDescent="0.35">
      <c r="B74" s="30"/>
    </row>
    <row r="75" spans="1:20" x14ac:dyDescent="0.35">
      <c r="B75" s="100"/>
    </row>
    <row r="76" spans="1:20" x14ac:dyDescent="0.35">
      <c r="B76" s="100"/>
      <c r="I76" s="101"/>
      <c r="J76" s="101"/>
      <c r="K76" s="101"/>
      <c r="L76" s="101"/>
      <c r="M76" s="101"/>
      <c r="N76" s="29"/>
    </row>
    <row r="77" spans="1:20" x14ac:dyDescent="0.35">
      <c r="B77" s="100"/>
      <c r="I77" s="101"/>
      <c r="J77" s="101"/>
      <c r="K77" s="101"/>
      <c r="L77" s="101"/>
      <c r="M77" s="101"/>
      <c r="S77" s="29"/>
    </row>
    <row r="78" spans="1:20" x14ac:dyDescent="0.35">
      <c r="B78" s="100"/>
      <c r="C78" s="103"/>
      <c r="D78" s="104"/>
      <c r="E78" s="103"/>
      <c r="I78" s="101"/>
      <c r="J78" s="101"/>
      <c r="K78" s="101"/>
      <c r="L78" s="101"/>
      <c r="M78" s="101"/>
    </row>
    <row r="79" spans="1:20" s="29" customFormat="1" x14ac:dyDescent="0.35">
      <c r="A79" s="82"/>
      <c r="B79" s="100"/>
      <c r="C79" s="55"/>
      <c r="D79" s="84"/>
      <c r="E79" s="103"/>
      <c r="F79" s="55"/>
      <c r="G79" s="82"/>
      <c r="H79" s="82"/>
      <c r="I79" s="101"/>
      <c r="J79" s="101"/>
      <c r="K79" s="101"/>
      <c r="L79" s="101"/>
      <c r="M79" s="101"/>
      <c r="N79" s="82"/>
      <c r="O79" s="82"/>
      <c r="P79" s="82"/>
      <c r="R79" s="82"/>
      <c r="S79" s="82"/>
    </row>
    <row r="80" spans="1:20" x14ac:dyDescent="0.35">
      <c r="R80" s="102"/>
      <c r="S80" s="102"/>
      <c r="T80" s="102"/>
    </row>
    <row r="81" spans="1:20" ht="26" x14ac:dyDescent="0.35">
      <c r="F81" s="101"/>
      <c r="G81" s="102"/>
      <c r="H81" s="120" t="s">
        <v>130</v>
      </c>
      <c r="I81" s="105" t="str">
        <f>I56</f>
        <v>High End</v>
      </c>
      <c r="J81" s="105" t="str">
        <f>I57</f>
        <v>Central Tendency</v>
      </c>
      <c r="R81" s="311" t="s">
        <v>129</v>
      </c>
      <c r="S81" s="105" t="str">
        <f>S56</f>
        <v>High End</v>
      </c>
      <c r="T81" s="105" t="str">
        <f>S57</f>
        <v>Central Tendency</v>
      </c>
    </row>
    <row r="82" spans="1:20" x14ac:dyDescent="0.35">
      <c r="H82" s="485" t="s">
        <v>145</v>
      </c>
      <c r="I82" s="106">
        <f>K56</f>
        <v>6.2328181711743334E-4</v>
      </c>
      <c r="J82" s="106">
        <f>K57</f>
        <v>5.8980213089802127E-6</v>
      </c>
      <c r="R82" s="312" t="s">
        <v>120</v>
      </c>
      <c r="S82" s="313" t="str">
        <f>T56</f>
        <v>10-4</v>
      </c>
      <c r="T82" s="313" t="str">
        <f>U57</f>
        <v/>
      </c>
    </row>
    <row r="83" spans="1:20" x14ac:dyDescent="0.35">
      <c r="A83" s="82" t="s">
        <v>196</v>
      </c>
      <c r="H83" s="485" t="s">
        <v>146</v>
      </c>
      <c r="I83" s="106">
        <f>L56</f>
        <v>6.2328181711743339E-5</v>
      </c>
      <c r="J83" s="106">
        <f>L57</f>
        <v>5.8980213089802131E-7</v>
      </c>
      <c r="R83" s="312" t="s">
        <v>197</v>
      </c>
      <c r="S83" s="106" t="str">
        <f>U56</f>
        <v/>
      </c>
      <c r="T83" s="106">
        <f>V57</f>
        <v>6.4089384924533998E-4</v>
      </c>
    </row>
    <row r="84" spans="1:20" x14ac:dyDescent="0.35">
      <c r="H84" s="485" t="s">
        <v>147</v>
      </c>
      <c r="I84" s="106">
        <f>M56</f>
        <v>2.4931272684697334E-5</v>
      </c>
      <c r="J84" s="106">
        <f>M57</f>
        <v>2.3592085235920849E-7</v>
      </c>
      <c r="R84" s="312" t="s">
        <v>198</v>
      </c>
      <c r="S84" s="106">
        <f>W56</f>
        <v>4.96175883286715E-4</v>
      </c>
      <c r="T84" s="106">
        <f>W57</f>
        <v>1.2817876984906802E-4</v>
      </c>
    </row>
    <row r="85" spans="1:20" ht="26" x14ac:dyDescent="0.35">
      <c r="H85" s="485" t="s">
        <v>148</v>
      </c>
      <c r="I85" s="106">
        <f>N56</f>
        <v>1.2465636342348667E-5</v>
      </c>
      <c r="J85" s="106">
        <f>N57</f>
        <v>1.1796042617960425E-7</v>
      </c>
      <c r="R85" s="312" t="s">
        <v>199</v>
      </c>
      <c r="S85" s="106">
        <f>X56</f>
        <v>2.480879416433575E-4</v>
      </c>
      <c r="T85" s="106">
        <f>X57</f>
        <v>6.4089384924534008E-5</v>
      </c>
    </row>
    <row r="86" spans="1:20" ht="26" x14ac:dyDescent="0.35">
      <c r="H86" s="485" t="s">
        <v>149</v>
      </c>
      <c r="I86" s="106">
        <f>O56</f>
        <v>6.2328181711743332E-7</v>
      </c>
      <c r="J86" s="106">
        <f>O57</f>
        <v>5.898021308980213E-9</v>
      </c>
      <c r="R86" s="312" t="s">
        <v>200</v>
      </c>
      <c r="S86" s="106">
        <f>Y56</f>
        <v>1.2404397082167875E-4</v>
      </c>
      <c r="T86" s="106">
        <f>Y57</f>
        <v>3.2044692462267004E-5</v>
      </c>
    </row>
    <row r="87" spans="1:20" x14ac:dyDescent="0.35">
      <c r="H87" s="485" t="s">
        <v>150</v>
      </c>
      <c r="I87" s="106">
        <f>P56</f>
        <v>6.2328181711743345E-8</v>
      </c>
      <c r="J87" s="106">
        <f>P57</f>
        <v>5.8980213089802134E-10</v>
      </c>
      <c r="T87" s="314"/>
    </row>
  </sheetData>
  <sheetProtection algorithmName="SHA-512" hashValue="QSJRNFzuohV7XMz5+uvpFyuEuAA9SYMXGFKKXFjKwHZNSh3XqQ//O3fjpkdgHKAu3J0PXICkSZuSR4gNynohJQ==" saltValue="xPzVrhgFo5cqoS5mcjYYZA==" spinCount="100000" sheet="1" objects="1" scenarios="1"/>
  <dataConsolidate link="1"/>
  <mergeCells count="104">
    <mergeCell ref="C22:C23"/>
    <mergeCell ref="F24:F25"/>
    <mergeCell ref="E24:E25"/>
    <mergeCell ref="C24:C25"/>
    <mergeCell ref="D24:D25"/>
    <mergeCell ref="D26:D33"/>
    <mergeCell ref="E32:E33"/>
    <mergeCell ref="F30:F33"/>
    <mergeCell ref="H32:H33"/>
    <mergeCell ref="H8:H9"/>
    <mergeCell ref="F48:F49"/>
    <mergeCell ref="H36:H37"/>
    <mergeCell ref="E34:E35"/>
    <mergeCell ref="E36:E37"/>
    <mergeCell ref="E38:E39"/>
    <mergeCell ref="E40:E41"/>
    <mergeCell ref="E42:E43"/>
    <mergeCell ref="E26:E27"/>
    <mergeCell ref="F26:F27"/>
    <mergeCell ref="E30:E31"/>
    <mergeCell ref="E28:E29"/>
    <mergeCell ref="E44:E45"/>
    <mergeCell ref="H30:H31"/>
    <mergeCell ref="H26:H27"/>
    <mergeCell ref="H28:H29"/>
    <mergeCell ref="H34:H35"/>
    <mergeCell ref="F28:F29"/>
    <mergeCell ref="F22:F23"/>
    <mergeCell ref="D22:E23"/>
    <mergeCell ref="H22:H23"/>
    <mergeCell ref="H24:H25"/>
    <mergeCell ref="F34:F35"/>
    <mergeCell ref="H38:H39"/>
    <mergeCell ref="H40:H41"/>
    <mergeCell ref="H42:H43"/>
    <mergeCell ref="F56:F57"/>
    <mergeCell ref="H48:H49"/>
    <mergeCell ref="H44:H45"/>
    <mergeCell ref="F36:F41"/>
    <mergeCell ref="F42:F43"/>
    <mergeCell ref="F50:F51"/>
    <mergeCell ref="F52:F53"/>
    <mergeCell ref="F54:F55"/>
    <mergeCell ref="H50:H51"/>
    <mergeCell ref="H52:H53"/>
    <mergeCell ref="H54:H55"/>
    <mergeCell ref="F46:F47"/>
    <mergeCell ref="H46:H47"/>
    <mergeCell ref="H56:H57"/>
    <mergeCell ref="F44:F45"/>
    <mergeCell ref="C56:C57"/>
    <mergeCell ref="C26:C55"/>
    <mergeCell ref="E56:E57"/>
    <mergeCell ref="E48:E49"/>
    <mergeCell ref="D56:D57"/>
    <mergeCell ref="D34:D39"/>
    <mergeCell ref="D40:D45"/>
    <mergeCell ref="D48:D49"/>
    <mergeCell ref="E54:E55"/>
    <mergeCell ref="D50:D55"/>
    <mergeCell ref="E50:E51"/>
    <mergeCell ref="E52:E53"/>
    <mergeCell ref="D46:D47"/>
    <mergeCell ref="E46:E47"/>
    <mergeCell ref="S8:S9"/>
    <mergeCell ref="R10:R11"/>
    <mergeCell ref="R12:R13"/>
    <mergeCell ref="R28:R29"/>
    <mergeCell ref="R30:R31"/>
    <mergeCell ref="R18:R19"/>
    <mergeCell ref="R14:R15"/>
    <mergeCell ref="R16:R17"/>
    <mergeCell ref="R8:R9"/>
    <mergeCell ref="I2:K2"/>
    <mergeCell ref="I10:I11"/>
    <mergeCell ref="I12:I13"/>
    <mergeCell ref="R34:R35"/>
    <mergeCell ref="I8:I9"/>
    <mergeCell ref="J3:K3"/>
    <mergeCell ref="J4:K4"/>
    <mergeCell ref="I22:I23"/>
    <mergeCell ref="J22:J23"/>
    <mergeCell ref="K22:P22"/>
    <mergeCell ref="R32:R33"/>
    <mergeCell ref="R36:R37"/>
    <mergeCell ref="R38:R39"/>
    <mergeCell ref="T22:T23"/>
    <mergeCell ref="U22:Y22"/>
    <mergeCell ref="R24:R25"/>
    <mergeCell ref="R26:R27"/>
    <mergeCell ref="R22:R23"/>
    <mergeCell ref="S22:S23"/>
    <mergeCell ref="L21:M21"/>
    <mergeCell ref="R46:R47"/>
    <mergeCell ref="J56:J57"/>
    <mergeCell ref="T56:T57"/>
    <mergeCell ref="R56:R57"/>
    <mergeCell ref="R40:R41"/>
    <mergeCell ref="R42:R43"/>
    <mergeCell ref="R44:R45"/>
    <mergeCell ref="R48:R49"/>
    <mergeCell ref="R50:R51"/>
    <mergeCell ref="R52:R53"/>
    <mergeCell ref="R54:R55"/>
  </mergeCells>
  <phoneticPr fontId="34" type="noConversion"/>
  <conditionalFormatting sqref="K56:P57">
    <cfRule type="cellIs" dxfId="51" priority="41" operator="greaterThan">
      <formula>0.0001</formula>
    </cfRule>
    <cfRule type="cellIs" dxfId="50" priority="51" operator="lessThanOrEqual">
      <formula>0.0001</formula>
    </cfRule>
  </conditionalFormatting>
  <conditionalFormatting sqref="K24:P31 K48:P55 K34:P45">
    <cfRule type="cellIs" dxfId="49" priority="74" operator="lessThan">
      <formula>$J24</formula>
    </cfRule>
    <cfRule type="cellIs" dxfId="48" priority="80" operator="greaterThanOrEqual">
      <formula>$J24</formula>
    </cfRule>
  </conditionalFormatting>
  <conditionalFormatting sqref="U56:Y57">
    <cfRule type="cellIs" dxfId="47" priority="39" operator="greaterThan">
      <formula>0.0001</formula>
    </cfRule>
    <cfRule type="cellIs" dxfId="46" priority="40" operator="lessThanOrEqual">
      <formula>0.0001</formula>
    </cfRule>
  </conditionalFormatting>
  <conditionalFormatting sqref="J10:M13 T10:W19 H24 R24:R31 U24:Y31 K24:P31 H26 H28 H30 H34 H36 H38 H40 H42 H44 H48 H50 H52 H54 H56:H57 K48:P57 U48:Y57 R48:R57 H32 K34:P45 U34:Y45 R34:R45">
    <cfRule type="cellIs" dxfId="45" priority="31" stopIfTrue="1" operator="equal">
      <formula>0</formula>
    </cfRule>
    <cfRule type="containsBlanks" dxfId="44" priority="32" stopIfTrue="1">
      <formula>LEN(TRIM(H10))=0</formula>
    </cfRule>
    <cfRule type="cellIs" dxfId="43" priority="33" operator="lessThan">
      <formula>0.1</formula>
    </cfRule>
    <cfRule type="cellIs" dxfId="42" priority="35" operator="lessThan">
      <formula>10</formula>
    </cfRule>
    <cfRule type="cellIs" dxfId="41" priority="38" operator="greaterThanOrEqual">
      <formula>10</formula>
    </cfRule>
  </conditionalFormatting>
  <conditionalFormatting sqref="U24:Y31 U48:Y55 U34:Y45">
    <cfRule type="cellIs" dxfId="40" priority="188" operator="lessThan">
      <formula>$T24</formula>
    </cfRule>
    <cfRule type="cellIs" dxfId="39" priority="189" operator="greaterThan">
      <formula>$T24</formula>
    </cfRule>
  </conditionalFormatting>
  <conditionalFormatting sqref="K46:P47">
    <cfRule type="cellIs" dxfId="38" priority="27" operator="lessThan">
      <formula>$J46</formula>
    </cfRule>
    <cfRule type="cellIs" dxfId="37" priority="28" operator="greaterThanOrEqual">
      <formula>$J46</formula>
    </cfRule>
  </conditionalFormatting>
  <conditionalFormatting sqref="R46:R47 U46:Y47 K46:P47 H46">
    <cfRule type="cellIs" dxfId="36" priority="22" stopIfTrue="1" operator="equal">
      <formula>0</formula>
    </cfRule>
    <cfRule type="containsBlanks" dxfId="35" priority="23" stopIfTrue="1">
      <formula>LEN(TRIM(H46))=0</formula>
    </cfRule>
    <cfRule type="cellIs" dxfId="34" priority="24" operator="lessThan">
      <formula>0.1</formula>
    </cfRule>
    <cfRule type="cellIs" dxfId="33" priority="25" operator="lessThan">
      <formula>10</formula>
    </cfRule>
    <cfRule type="cellIs" dxfId="32" priority="26" operator="greaterThanOrEqual">
      <formula>10</formula>
    </cfRule>
  </conditionalFormatting>
  <conditionalFormatting sqref="U46:Y47">
    <cfRule type="cellIs" dxfId="31" priority="29" operator="lessThan">
      <formula>$T46</formula>
    </cfRule>
    <cfRule type="cellIs" dxfId="30" priority="30" operator="greaterThan">
      <formula>$T46</formula>
    </cfRule>
  </conditionalFormatting>
  <conditionalFormatting sqref="K32:P33">
    <cfRule type="cellIs" dxfId="29" priority="20" operator="lessThan">
      <formula>$J32</formula>
    </cfRule>
    <cfRule type="cellIs" dxfId="28" priority="21" operator="greaterThanOrEqual">
      <formula>$J32</formula>
    </cfRule>
  </conditionalFormatting>
  <conditionalFormatting sqref="K32:P33">
    <cfRule type="cellIs" dxfId="27" priority="15" stopIfTrue="1" operator="equal">
      <formula>0</formula>
    </cfRule>
    <cfRule type="containsBlanks" dxfId="26" priority="16" stopIfTrue="1">
      <formula>LEN(TRIM(K32))=0</formula>
    </cfRule>
    <cfRule type="cellIs" dxfId="25" priority="17" operator="lessThan">
      <formula>0.1</formula>
    </cfRule>
    <cfRule type="cellIs" dxfId="24" priority="18" operator="lessThan">
      <formula>10</formula>
    </cfRule>
    <cfRule type="cellIs" dxfId="23" priority="19" operator="greaterThanOrEqual">
      <formula>10</formula>
    </cfRule>
  </conditionalFormatting>
  <conditionalFormatting sqref="R32:R33 U32:Y33">
    <cfRule type="cellIs" dxfId="22" priority="1" stopIfTrue="1" operator="equal">
      <formula>0</formula>
    </cfRule>
    <cfRule type="containsBlanks" dxfId="21" priority="2" stopIfTrue="1">
      <formula>LEN(TRIM(R32))=0</formula>
    </cfRule>
    <cfRule type="cellIs" dxfId="20" priority="3" operator="lessThan">
      <formula>0.1</formula>
    </cfRule>
    <cfRule type="cellIs" dxfId="19" priority="4" operator="lessThan">
      <formula>10</formula>
    </cfRule>
    <cfRule type="cellIs" dxfId="18" priority="5" operator="greaterThanOrEqual">
      <formula>10</formula>
    </cfRule>
  </conditionalFormatting>
  <conditionalFormatting sqref="U32:Y33">
    <cfRule type="cellIs" dxfId="17" priority="6" operator="lessThan">
      <formula>$T32</formula>
    </cfRule>
    <cfRule type="cellIs" dxfId="16" priority="7" operator="greaterThan">
      <formula>$T32</formula>
    </cfRule>
  </conditionalFormatting>
  <dataValidations count="1">
    <dataValidation allowBlank="1" showErrorMessage="1" sqref="J8:J9 H8 H12:H13 T8:T9 R8" xr:uid="{B6FDB558-C6DA-450F-B0A7-6A9F371395FE}"/>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7B888423-487C-4515-BD78-F21A071FAC4A}">
          <x14:formula1>
            <xm:f>'List Values'!$F$2:$F$3</xm:f>
          </x14:formula1>
          <xm:sqref>J4:K4</xm:sqref>
        </x14:dataValidation>
        <x14:dataValidation type="list" allowBlank="1" showInputMessage="1" showErrorMessage="1" xr:uid="{51A573E5-7C80-4403-AB83-D1AE96D41776}">
          <x14:formula1>
            <xm:f>'List Values'!$D$2:$D$3</xm:f>
          </x14:formula1>
          <xm:sqref>I4</xm:sqref>
        </x14:dataValidation>
        <x14:dataValidation type="list" allowBlank="1" showInputMessage="1" showErrorMessage="1" xr:uid="{2AA5373C-C373-4D49-A300-CE16DC0455C0}">
          <x14:formula1>
            <xm:f>'List Values'!$D$6:$D$7</xm:f>
          </x14:formula1>
          <xm:sqref>R4</xm:sqref>
        </x14:dataValidation>
        <x14:dataValidation type="list" allowBlank="1" showInputMessage="1" showErrorMessage="1" xr:uid="{EEB43209-65D0-4ECD-98C8-2D730F6098A1}">
          <x14:formula1>
            <xm:f>'List Values'!$B$2:$B$39</xm:f>
          </x14:formula1>
          <xm:sqref>H4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DFA29-5DDB-4018-BDB5-BC28E8281DEA}">
  <sheetPr codeName="Sheet7">
    <tabColor theme="1"/>
  </sheetPr>
  <dimension ref="B1:Z65"/>
  <sheetViews>
    <sheetView topLeftCell="B1" workbookViewId="0">
      <pane xSplit="4" ySplit="4" topLeftCell="F5" activePane="bottomRight" state="frozen"/>
      <selection pane="topRight" activeCell="F1" sqref="F1"/>
      <selection pane="bottomLeft" activeCell="B5" sqref="B5"/>
      <selection pane="bottomRight" activeCell="B2" sqref="B2:B4"/>
    </sheetView>
  </sheetViews>
  <sheetFormatPr defaultColWidth="9.1796875" defaultRowHeight="13" x14ac:dyDescent="0.3"/>
  <cols>
    <col min="1" max="1" width="2.54296875" style="21" customWidth="1"/>
    <col min="2" max="2" width="9.26953125" style="19" bestFit="1" customWidth="1"/>
    <col min="3" max="3" width="52" style="21" bestFit="1" customWidth="1"/>
    <col min="4" max="4" width="8" style="21" bestFit="1" customWidth="1"/>
    <col min="5" max="5" width="15.26953125" style="19" customWidth="1"/>
    <col min="6" max="6" width="7.7265625" style="21" bestFit="1" customWidth="1"/>
    <col min="7" max="7" width="8.453125" style="21" bestFit="1" customWidth="1"/>
    <col min="8" max="8" width="7.81640625" style="21" bestFit="1" customWidth="1"/>
    <col min="9" max="9" width="8.453125" style="351" bestFit="1" customWidth="1"/>
    <col min="10" max="10" width="14.1796875" style="21" customWidth="1"/>
    <col min="11" max="11" width="14.7265625" style="21" customWidth="1"/>
    <col min="12" max="12" width="8.7265625" style="21" customWidth="1"/>
    <col min="13" max="13" width="8.453125" style="21" customWidth="1"/>
    <col min="14" max="14" width="7.7265625" style="21" customWidth="1"/>
    <col min="15" max="15" width="8.453125" style="21" customWidth="1"/>
    <col min="16" max="16" width="7.81640625" style="21" bestFit="1" customWidth="1"/>
    <col min="17" max="17" width="8.453125" style="19" bestFit="1" customWidth="1"/>
    <col min="18" max="18" width="7.81640625" style="21" bestFit="1" customWidth="1"/>
    <col min="19" max="19" width="9.54296875" style="21" bestFit="1" customWidth="1"/>
    <col min="20" max="20" width="7.81640625" style="21" bestFit="1" customWidth="1"/>
    <col min="21" max="21" width="14.7265625" style="21" bestFit="1" customWidth="1"/>
    <col min="22" max="22" width="13.54296875" style="21" bestFit="1" customWidth="1"/>
    <col min="23" max="23" width="10" style="21" bestFit="1" customWidth="1"/>
    <col min="24" max="24" width="9.81640625" style="21" bestFit="1" customWidth="1"/>
    <col min="25" max="25" width="65" style="21" customWidth="1"/>
    <col min="26" max="26" width="14.1796875" style="21" bestFit="1" customWidth="1"/>
    <col min="27" max="27" width="17.453125" style="21" customWidth="1"/>
    <col min="28" max="28" width="9.1796875" style="21"/>
    <col min="29" max="29" width="72.54296875" style="21" customWidth="1"/>
    <col min="30" max="30" width="23.7265625" style="21" customWidth="1"/>
    <col min="31" max="33" width="9.1796875" style="21"/>
    <col min="34" max="34" width="52.453125" style="21" bestFit="1" customWidth="1"/>
    <col min="35" max="35" width="10.7265625" style="21" customWidth="1"/>
    <col min="36" max="41" width="9.1796875" style="21"/>
    <col min="42" max="42" width="72.7265625" style="21" bestFit="1" customWidth="1"/>
    <col min="43" max="43" width="14.26953125" style="21" bestFit="1" customWidth="1"/>
    <col min="44" max="16384" width="9.1796875" style="21"/>
  </cols>
  <sheetData>
    <row r="1" spans="2:26" ht="15" thickBot="1" x14ac:dyDescent="0.4">
      <c r="B1" s="34"/>
      <c r="C1" s="33"/>
      <c r="D1" s="33"/>
      <c r="E1" s="34"/>
      <c r="F1"/>
      <c r="G1"/>
      <c r="H1" s="33"/>
      <c r="I1" s="33"/>
      <c r="J1" s="33"/>
      <c r="K1" s="33"/>
      <c r="L1" s="33"/>
      <c r="M1" s="33"/>
      <c r="N1" s="33"/>
      <c r="O1" s="33"/>
      <c r="P1" s="33"/>
      <c r="Q1" s="34"/>
      <c r="R1" s="33"/>
      <c r="S1" s="33"/>
      <c r="V1" s="20"/>
      <c r="W1" s="20"/>
      <c r="X1" s="20"/>
    </row>
    <row r="2" spans="2:26" ht="30.75" customHeight="1" x14ac:dyDescent="0.3">
      <c r="B2" s="521" t="s">
        <v>310</v>
      </c>
      <c r="C2" s="652" t="s">
        <v>0</v>
      </c>
      <c r="D2" s="652" t="s">
        <v>14</v>
      </c>
      <c r="E2" s="654" t="s">
        <v>311</v>
      </c>
      <c r="F2" s="667" t="s">
        <v>312</v>
      </c>
      <c r="G2" s="668"/>
      <c r="H2" s="665" t="s">
        <v>313</v>
      </c>
      <c r="I2" s="665"/>
      <c r="J2" s="663" t="s">
        <v>314</v>
      </c>
      <c r="K2" s="664"/>
      <c r="L2" s="663" t="s">
        <v>315</v>
      </c>
      <c r="M2" s="664"/>
      <c r="N2" s="663" t="s">
        <v>316</v>
      </c>
      <c r="O2" s="664"/>
      <c r="P2" s="663" t="s">
        <v>17</v>
      </c>
      <c r="Q2" s="664"/>
      <c r="R2" s="665" t="s">
        <v>18</v>
      </c>
      <c r="S2" s="665"/>
      <c r="T2" s="665" t="s">
        <v>19</v>
      </c>
      <c r="U2" s="665"/>
      <c r="V2" s="652" t="s">
        <v>317</v>
      </c>
      <c r="W2" s="652" t="s">
        <v>318</v>
      </c>
      <c r="X2" s="654" t="s">
        <v>319</v>
      </c>
      <c r="Y2" s="657" t="s">
        <v>320</v>
      </c>
      <c r="Z2" s="659" t="s">
        <v>321</v>
      </c>
    </row>
    <row r="3" spans="2:26" ht="26.25" customHeight="1" x14ac:dyDescent="0.3">
      <c r="B3" s="666"/>
      <c r="C3" s="653"/>
      <c r="D3" s="653"/>
      <c r="E3" s="655"/>
      <c r="F3" s="669"/>
      <c r="G3" s="670"/>
      <c r="H3" s="661" t="s">
        <v>137</v>
      </c>
      <c r="I3" s="653"/>
      <c r="J3" s="661" t="s">
        <v>322</v>
      </c>
      <c r="K3" s="653"/>
      <c r="L3" s="661" t="s">
        <v>323</v>
      </c>
      <c r="M3" s="653"/>
      <c r="N3" s="661" t="s">
        <v>324</v>
      </c>
      <c r="O3" s="653"/>
      <c r="P3" s="658" t="s">
        <v>325</v>
      </c>
      <c r="Q3" s="662"/>
      <c r="R3" s="661" t="s">
        <v>26</v>
      </c>
      <c r="S3" s="653"/>
      <c r="T3" s="661" t="s">
        <v>27</v>
      </c>
      <c r="U3" s="653"/>
      <c r="V3" s="653"/>
      <c r="W3" s="653"/>
      <c r="X3" s="655"/>
      <c r="Y3" s="658"/>
      <c r="Z3" s="660"/>
    </row>
    <row r="4" spans="2:26" ht="26" x14ac:dyDescent="0.3">
      <c r="B4" s="666"/>
      <c r="C4" s="653"/>
      <c r="D4" s="653"/>
      <c r="E4" s="656"/>
      <c r="F4" s="499" t="s">
        <v>32</v>
      </c>
      <c r="G4" s="499" t="s">
        <v>35</v>
      </c>
      <c r="H4" s="499" t="s">
        <v>32</v>
      </c>
      <c r="I4" s="341" t="s">
        <v>35</v>
      </c>
      <c r="J4" s="499" t="s">
        <v>32</v>
      </c>
      <c r="K4" s="499" t="s">
        <v>35</v>
      </c>
      <c r="L4" s="499" t="s">
        <v>32</v>
      </c>
      <c r="M4" s="499" t="s">
        <v>35</v>
      </c>
      <c r="N4" s="499" t="s">
        <v>32</v>
      </c>
      <c r="O4" s="499" t="s">
        <v>35</v>
      </c>
      <c r="P4" s="499" t="s">
        <v>32</v>
      </c>
      <c r="Q4" s="499" t="s">
        <v>35</v>
      </c>
      <c r="R4" s="499" t="s">
        <v>32</v>
      </c>
      <c r="S4" s="499" t="s">
        <v>35</v>
      </c>
      <c r="T4" s="499" t="s">
        <v>32</v>
      </c>
      <c r="U4" s="499" t="s">
        <v>35</v>
      </c>
      <c r="V4" s="653"/>
      <c r="W4" s="653"/>
      <c r="X4" s="656"/>
      <c r="Y4" s="658"/>
      <c r="Z4" s="660"/>
    </row>
    <row r="5" spans="2:26" x14ac:dyDescent="0.3">
      <c r="B5" s="176" t="s">
        <v>326</v>
      </c>
      <c r="C5" s="183" t="s">
        <v>9</v>
      </c>
      <c r="D5" s="22" t="s">
        <v>31</v>
      </c>
      <c r="E5" s="109" t="s">
        <v>327</v>
      </c>
      <c r="F5" s="349">
        <v>250</v>
      </c>
      <c r="G5" s="349">
        <v>250</v>
      </c>
      <c r="H5" s="23">
        <v>2.6617249999999997</v>
      </c>
      <c r="I5" s="23">
        <v>3.2500000000000001E-2</v>
      </c>
      <c r="J5" s="23">
        <v>12.149999999999999</v>
      </c>
      <c r="K5" s="23">
        <v>0.70710678118654746</v>
      </c>
      <c r="L5" s="35">
        <v>30</v>
      </c>
      <c r="M5" s="35">
        <v>30</v>
      </c>
      <c r="N5" s="23">
        <v>15</v>
      </c>
      <c r="O5" s="23">
        <v>2</v>
      </c>
      <c r="P5" s="23">
        <v>0.8872416666666666</v>
      </c>
      <c r="Q5" s="23">
        <v>1.0833333333333334E-2</v>
      </c>
      <c r="R5" s="23">
        <v>0.60769977168949751</v>
      </c>
      <c r="S5" s="23">
        <v>7.4200913242009128E-3</v>
      </c>
      <c r="T5" s="23">
        <v>0.31164090855871668</v>
      </c>
      <c r="U5" s="184">
        <v>2.9490106544901064E-3</v>
      </c>
      <c r="V5" s="185">
        <v>63</v>
      </c>
      <c r="W5" s="186">
        <v>38</v>
      </c>
      <c r="X5" s="186">
        <v>161</v>
      </c>
      <c r="Y5" s="187" t="s">
        <v>328</v>
      </c>
      <c r="Z5" s="177" t="s">
        <v>10</v>
      </c>
    </row>
    <row r="6" spans="2:26" x14ac:dyDescent="0.3">
      <c r="B6" s="176" t="s">
        <v>326</v>
      </c>
      <c r="C6" s="183" t="s">
        <v>9</v>
      </c>
      <c r="D6" s="22" t="s">
        <v>34</v>
      </c>
      <c r="E6" s="109" t="s">
        <v>327</v>
      </c>
      <c r="F6" s="349">
        <v>250</v>
      </c>
      <c r="G6" s="349">
        <v>250</v>
      </c>
      <c r="H6" s="23">
        <v>9.1749999999999998E-2</v>
      </c>
      <c r="I6" s="23">
        <v>3.3941125496954279E-2</v>
      </c>
      <c r="J6" s="23" t="s">
        <v>79</v>
      </c>
      <c r="K6" s="23" t="s">
        <v>79</v>
      </c>
      <c r="L6" s="23" t="s">
        <v>79</v>
      </c>
      <c r="M6" s="23" t="s">
        <v>79</v>
      </c>
      <c r="N6" s="23" t="s">
        <v>79</v>
      </c>
      <c r="O6" s="23" t="s">
        <v>79</v>
      </c>
      <c r="P6" s="23">
        <v>3.0583333333333334E-2</v>
      </c>
      <c r="Q6" s="23">
        <v>1.131370849898476E-2</v>
      </c>
      <c r="R6" s="23">
        <v>2.0947488584474885E-2</v>
      </c>
      <c r="S6" s="23">
        <v>7.7491154102635332E-3</v>
      </c>
      <c r="T6" s="23">
        <v>1.0742301838192249E-2</v>
      </c>
      <c r="U6" s="184">
        <v>3.0797766374124299E-3</v>
      </c>
      <c r="V6" s="185">
        <v>12</v>
      </c>
      <c r="W6" s="186" t="s">
        <v>79</v>
      </c>
      <c r="X6" s="186" t="s">
        <v>79</v>
      </c>
      <c r="Y6" s="187" t="s">
        <v>328</v>
      </c>
      <c r="Z6" s="177" t="s">
        <v>10</v>
      </c>
    </row>
    <row r="7" spans="2:26" x14ac:dyDescent="0.3">
      <c r="B7" s="176" t="s">
        <v>329</v>
      </c>
      <c r="C7" s="183" t="s">
        <v>256</v>
      </c>
      <c r="D7" s="22" t="s">
        <v>31</v>
      </c>
      <c r="E7" s="109" t="s">
        <v>330</v>
      </c>
      <c r="F7" s="350">
        <v>167</v>
      </c>
      <c r="G7" s="350">
        <v>167</v>
      </c>
      <c r="H7" s="23">
        <v>0.21349999999999994</v>
      </c>
      <c r="I7" s="23">
        <v>2.0500000000000001E-2</v>
      </c>
      <c r="J7" s="23">
        <v>12.149999999999999</v>
      </c>
      <c r="K7" s="23">
        <v>0.70710678118654746</v>
      </c>
      <c r="L7" s="35">
        <v>30</v>
      </c>
      <c r="M7" s="35">
        <v>30</v>
      </c>
      <c r="N7" s="23">
        <v>15</v>
      </c>
      <c r="O7" s="23">
        <v>2</v>
      </c>
      <c r="P7" s="23">
        <v>0.10674999999999997</v>
      </c>
      <c r="Q7" s="23">
        <v>1.025E-2</v>
      </c>
      <c r="R7" s="23">
        <v>4.8841780821917799E-2</v>
      </c>
      <c r="S7" s="23">
        <v>4.6897260273972598E-3</v>
      </c>
      <c r="T7" s="23">
        <v>2.5047067088162973E-2</v>
      </c>
      <c r="U7" s="184">
        <v>1.8638654724271162E-3</v>
      </c>
      <c r="V7" s="185">
        <v>74</v>
      </c>
      <c r="W7" s="186">
        <v>38</v>
      </c>
      <c r="X7" s="186">
        <v>161</v>
      </c>
      <c r="Y7" s="187" t="s">
        <v>328</v>
      </c>
      <c r="Z7" s="177" t="s">
        <v>10</v>
      </c>
    </row>
    <row r="8" spans="2:26" ht="26" x14ac:dyDescent="0.3">
      <c r="B8" s="176" t="s">
        <v>329</v>
      </c>
      <c r="C8" s="183" t="s">
        <v>256</v>
      </c>
      <c r="D8" s="22" t="s">
        <v>34</v>
      </c>
      <c r="E8" s="109" t="s">
        <v>330</v>
      </c>
      <c r="F8" s="349">
        <v>167</v>
      </c>
      <c r="G8" s="349">
        <v>167</v>
      </c>
      <c r="H8" s="23">
        <v>4.4999999999999998E-2</v>
      </c>
      <c r="I8" s="23">
        <v>2.2499999999999999E-2</v>
      </c>
      <c r="J8" s="23" t="s">
        <v>79</v>
      </c>
      <c r="K8" s="23" t="s">
        <v>79</v>
      </c>
      <c r="L8" s="23" t="s">
        <v>79</v>
      </c>
      <c r="M8" s="23" t="s">
        <v>79</v>
      </c>
      <c r="N8" s="23" t="s">
        <v>79</v>
      </c>
      <c r="O8" s="23" t="s">
        <v>79</v>
      </c>
      <c r="P8" s="23">
        <v>2.2500000000000003E-2</v>
      </c>
      <c r="Q8" s="23">
        <v>1.1250000000000001E-2</v>
      </c>
      <c r="R8" s="23">
        <v>1.0294520547945206E-2</v>
      </c>
      <c r="S8" s="23">
        <v>5.1472602739726031E-3</v>
      </c>
      <c r="T8" s="23">
        <v>5.2792413066385675E-3</v>
      </c>
      <c r="U8" s="184">
        <v>2.0457060063224452E-3</v>
      </c>
      <c r="V8" s="185">
        <v>3</v>
      </c>
      <c r="W8" s="186" t="s">
        <v>79</v>
      </c>
      <c r="X8" s="186" t="s">
        <v>79</v>
      </c>
      <c r="Y8" s="187" t="s">
        <v>331</v>
      </c>
      <c r="Z8" s="177" t="s">
        <v>10</v>
      </c>
    </row>
    <row r="9" spans="2:26" ht="52" x14ac:dyDescent="0.3">
      <c r="B9" s="176">
        <v>11</v>
      </c>
      <c r="C9" s="183" t="s">
        <v>257</v>
      </c>
      <c r="D9" s="22" t="s">
        <v>31</v>
      </c>
      <c r="E9" s="109" t="s">
        <v>327</v>
      </c>
      <c r="F9" s="349">
        <v>250</v>
      </c>
      <c r="G9" s="349">
        <v>250</v>
      </c>
      <c r="H9" s="23">
        <v>1.2120436458333335</v>
      </c>
      <c r="I9" s="23">
        <v>0.45822916666666663</v>
      </c>
      <c r="J9" s="23">
        <v>5.7</v>
      </c>
      <c r="K9" s="23">
        <v>0.08</v>
      </c>
      <c r="L9" s="35">
        <v>30</v>
      </c>
      <c r="M9" s="35">
        <v>30</v>
      </c>
      <c r="N9" s="23">
        <v>1.6</v>
      </c>
      <c r="O9" s="23">
        <v>0.85499999999999998</v>
      </c>
      <c r="P9" s="23">
        <v>0.40401454861111114</v>
      </c>
      <c r="Q9" s="23">
        <v>0.15274305555555553</v>
      </c>
      <c r="R9" s="23">
        <v>0.27672229356925421</v>
      </c>
      <c r="S9" s="23">
        <v>0.10461853120243531</v>
      </c>
      <c r="T9" s="23">
        <v>0.14190886849705342</v>
      </c>
      <c r="U9" s="23">
        <v>4.1579159836865318E-2</v>
      </c>
      <c r="V9" s="109">
        <v>11</v>
      </c>
      <c r="W9" s="109">
        <v>5</v>
      </c>
      <c r="X9" s="109">
        <v>2</v>
      </c>
      <c r="Y9" s="187" t="s">
        <v>332</v>
      </c>
      <c r="Z9" s="177" t="s">
        <v>10</v>
      </c>
    </row>
    <row r="10" spans="2:26" x14ac:dyDescent="0.3">
      <c r="B10" s="176" t="s">
        <v>333</v>
      </c>
      <c r="C10" s="183" t="s">
        <v>258</v>
      </c>
      <c r="D10" s="22" t="s">
        <v>31</v>
      </c>
      <c r="E10" s="109" t="s">
        <v>327</v>
      </c>
      <c r="F10" s="350">
        <f t="shared" ref="F10:G13" si="0">+F5</f>
        <v>250</v>
      </c>
      <c r="G10" s="350">
        <f t="shared" si="0"/>
        <v>250</v>
      </c>
      <c r="H10" s="23">
        <f t="shared" ref="H10:X10" si="1">H5</f>
        <v>2.6617249999999997</v>
      </c>
      <c r="I10" s="23">
        <f t="shared" si="1"/>
        <v>3.2500000000000001E-2</v>
      </c>
      <c r="J10" s="23">
        <f t="shared" si="1"/>
        <v>12.149999999999999</v>
      </c>
      <c r="K10" s="23">
        <f t="shared" si="1"/>
        <v>0.70710678118654746</v>
      </c>
      <c r="L10" s="35">
        <f t="shared" si="1"/>
        <v>30</v>
      </c>
      <c r="M10" s="35">
        <f t="shared" si="1"/>
        <v>30</v>
      </c>
      <c r="N10" s="23">
        <f t="shared" si="1"/>
        <v>15</v>
      </c>
      <c r="O10" s="23">
        <f t="shared" si="1"/>
        <v>2</v>
      </c>
      <c r="P10" s="23">
        <f t="shared" si="1"/>
        <v>0.8872416666666666</v>
      </c>
      <c r="Q10" s="23">
        <f t="shared" si="1"/>
        <v>1.0833333333333334E-2</v>
      </c>
      <c r="R10" s="23">
        <f t="shared" si="1"/>
        <v>0.60769977168949751</v>
      </c>
      <c r="S10" s="23">
        <f t="shared" si="1"/>
        <v>7.4200913242009128E-3</v>
      </c>
      <c r="T10" s="23">
        <f t="shared" si="1"/>
        <v>0.31164090855871668</v>
      </c>
      <c r="U10" s="184">
        <f t="shared" si="1"/>
        <v>2.9490106544901064E-3</v>
      </c>
      <c r="V10" s="35">
        <f t="shared" si="1"/>
        <v>63</v>
      </c>
      <c r="W10" s="35">
        <f t="shared" si="1"/>
        <v>38</v>
      </c>
      <c r="X10" s="35">
        <f t="shared" si="1"/>
        <v>161</v>
      </c>
      <c r="Y10" s="187" t="s">
        <v>334</v>
      </c>
      <c r="Z10" s="177" t="s">
        <v>10</v>
      </c>
    </row>
    <row r="11" spans="2:26" x14ac:dyDescent="0.3">
      <c r="B11" s="176" t="s">
        <v>333</v>
      </c>
      <c r="C11" s="183" t="s">
        <v>258</v>
      </c>
      <c r="D11" s="22" t="s">
        <v>34</v>
      </c>
      <c r="E11" s="109" t="s">
        <v>327</v>
      </c>
      <c r="F11" s="350">
        <f t="shared" si="0"/>
        <v>250</v>
      </c>
      <c r="G11" s="350">
        <f t="shared" si="0"/>
        <v>250</v>
      </c>
      <c r="H11" s="23">
        <f t="shared" ref="H11:X11" si="2">H6</f>
        <v>9.1749999999999998E-2</v>
      </c>
      <c r="I11" s="23">
        <f t="shared" si="2"/>
        <v>3.3941125496954279E-2</v>
      </c>
      <c r="J11" s="23" t="str">
        <f t="shared" si="2"/>
        <v>N/A</v>
      </c>
      <c r="K11" s="23" t="str">
        <f t="shared" si="2"/>
        <v>N/A</v>
      </c>
      <c r="L11" s="35" t="str">
        <f t="shared" si="2"/>
        <v>N/A</v>
      </c>
      <c r="M11" s="35" t="str">
        <f t="shared" si="2"/>
        <v>N/A</v>
      </c>
      <c r="N11" s="23" t="str">
        <f t="shared" si="2"/>
        <v>N/A</v>
      </c>
      <c r="O11" s="23" t="str">
        <f t="shared" si="2"/>
        <v>N/A</v>
      </c>
      <c r="P11" s="23">
        <f t="shared" si="2"/>
        <v>3.0583333333333334E-2</v>
      </c>
      <c r="Q11" s="23">
        <f t="shared" si="2"/>
        <v>1.131370849898476E-2</v>
      </c>
      <c r="R11" s="23">
        <f t="shared" si="2"/>
        <v>2.0947488584474885E-2</v>
      </c>
      <c r="S11" s="23">
        <f t="shared" si="2"/>
        <v>7.7491154102635332E-3</v>
      </c>
      <c r="T11" s="23">
        <f t="shared" si="2"/>
        <v>1.0742301838192249E-2</v>
      </c>
      <c r="U11" s="184">
        <f t="shared" si="2"/>
        <v>3.0797766374124299E-3</v>
      </c>
      <c r="V11" s="35">
        <f t="shared" si="2"/>
        <v>12</v>
      </c>
      <c r="W11" s="35" t="str">
        <f t="shared" si="2"/>
        <v>N/A</v>
      </c>
      <c r="X11" s="35" t="str">
        <f t="shared" si="2"/>
        <v>N/A</v>
      </c>
      <c r="Y11" s="187" t="s">
        <v>334</v>
      </c>
      <c r="Z11" s="177" t="s">
        <v>10</v>
      </c>
    </row>
    <row r="12" spans="2:26" x14ac:dyDescent="0.3">
      <c r="B12" s="176" t="s">
        <v>335</v>
      </c>
      <c r="C12" s="183" t="s">
        <v>259</v>
      </c>
      <c r="D12" s="22" t="s">
        <v>31</v>
      </c>
      <c r="E12" s="109" t="s">
        <v>330</v>
      </c>
      <c r="F12" s="350">
        <f t="shared" si="0"/>
        <v>167</v>
      </c>
      <c r="G12" s="350">
        <f t="shared" si="0"/>
        <v>167</v>
      </c>
      <c r="H12" s="23">
        <f t="shared" ref="H12:X12" si="3">H7</f>
        <v>0.21349999999999994</v>
      </c>
      <c r="I12" s="23">
        <f t="shared" si="3"/>
        <v>2.0500000000000001E-2</v>
      </c>
      <c r="J12" s="23">
        <f t="shared" si="3"/>
        <v>12.149999999999999</v>
      </c>
      <c r="K12" s="23">
        <f t="shared" si="3"/>
        <v>0.70710678118654746</v>
      </c>
      <c r="L12" s="35">
        <f t="shared" si="3"/>
        <v>30</v>
      </c>
      <c r="M12" s="35">
        <f t="shared" si="3"/>
        <v>30</v>
      </c>
      <c r="N12" s="23">
        <f t="shared" si="3"/>
        <v>15</v>
      </c>
      <c r="O12" s="23">
        <f t="shared" si="3"/>
        <v>2</v>
      </c>
      <c r="P12" s="23">
        <f t="shared" si="3"/>
        <v>0.10674999999999997</v>
      </c>
      <c r="Q12" s="23">
        <f t="shared" si="3"/>
        <v>1.025E-2</v>
      </c>
      <c r="R12" s="23">
        <f t="shared" si="3"/>
        <v>4.8841780821917799E-2</v>
      </c>
      <c r="S12" s="23">
        <f t="shared" si="3"/>
        <v>4.6897260273972598E-3</v>
      </c>
      <c r="T12" s="23">
        <f t="shared" si="3"/>
        <v>2.5047067088162973E-2</v>
      </c>
      <c r="U12" s="184">
        <f t="shared" si="3"/>
        <v>1.8638654724271162E-3</v>
      </c>
      <c r="V12" s="35">
        <f t="shared" si="3"/>
        <v>74</v>
      </c>
      <c r="W12" s="35">
        <f t="shared" si="3"/>
        <v>38</v>
      </c>
      <c r="X12" s="35">
        <f t="shared" si="3"/>
        <v>161</v>
      </c>
      <c r="Y12" s="187" t="s">
        <v>334</v>
      </c>
      <c r="Z12" s="177" t="s">
        <v>10</v>
      </c>
    </row>
    <row r="13" spans="2:26" x14ac:dyDescent="0.3">
      <c r="B13" s="176" t="s">
        <v>335</v>
      </c>
      <c r="C13" s="183" t="s">
        <v>259</v>
      </c>
      <c r="D13" s="22" t="s">
        <v>34</v>
      </c>
      <c r="E13" s="109" t="s">
        <v>330</v>
      </c>
      <c r="F13" s="350">
        <f t="shared" si="0"/>
        <v>167</v>
      </c>
      <c r="G13" s="350">
        <f t="shared" si="0"/>
        <v>167</v>
      </c>
      <c r="H13" s="23">
        <f t="shared" ref="H13:X13" si="4">H8</f>
        <v>4.4999999999999998E-2</v>
      </c>
      <c r="I13" s="23">
        <f t="shared" si="4"/>
        <v>2.2499999999999999E-2</v>
      </c>
      <c r="J13" s="23" t="str">
        <f t="shared" si="4"/>
        <v>N/A</v>
      </c>
      <c r="K13" s="23" t="str">
        <f t="shared" si="4"/>
        <v>N/A</v>
      </c>
      <c r="L13" s="35" t="str">
        <f t="shared" si="4"/>
        <v>N/A</v>
      </c>
      <c r="M13" s="35" t="str">
        <f t="shared" si="4"/>
        <v>N/A</v>
      </c>
      <c r="N13" s="23" t="str">
        <f t="shared" si="4"/>
        <v>N/A</v>
      </c>
      <c r="O13" s="23" t="str">
        <f t="shared" si="4"/>
        <v>N/A</v>
      </c>
      <c r="P13" s="23">
        <f t="shared" si="4"/>
        <v>2.2500000000000003E-2</v>
      </c>
      <c r="Q13" s="23">
        <f t="shared" si="4"/>
        <v>1.1250000000000001E-2</v>
      </c>
      <c r="R13" s="23">
        <f t="shared" si="4"/>
        <v>1.0294520547945206E-2</v>
      </c>
      <c r="S13" s="23">
        <f t="shared" si="4"/>
        <v>5.1472602739726031E-3</v>
      </c>
      <c r="T13" s="23">
        <f t="shared" si="4"/>
        <v>5.2792413066385675E-3</v>
      </c>
      <c r="U13" s="184">
        <f t="shared" si="4"/>
        <v>2.0457060063224452E-3</v>
      </c>
      <c r="V13" s="35">
        <f t="shared" si="4"/>
        <v>3</v>
      </c>
      <c r="W13" s="35" t="str">
        <f t="shared" si="4"/>
        <v>N/A</v>
      </c>
      <c r="X13" s="35" t="str">
        <f t="shared" si="4"/>
        <v>N/A</v>
      </c>
      <c r="Y13" s="187" t="s">
        <v>334</v>
      </c>
      <c r="Z13" s="177" t="s">
        <v>10</v>
      </c>
    </row>
    <row r="14" spans="2:26" x14ac:dyDescent="0.3">
      <c r="B14" s="176" t="s">
        <v>336</v>
      </c>
      <c r="C14" s="183" t="s">
        <v>260</v>
      </c>
      <c r="D14" s="22" t="s">
        <v>31</v>
      </c>
      <c r="E14" s="109" t="s">
        <v>327</v>
      </c>
      <c r="F14" s="350">
        <v>250</v>
      </c>
      <c r="G14" s="350">
        <v>250</v>
      </c>
      <c r="H14" s="23">
        <v>25.463730239583327</v>
      </c>
      <c r="I14" s="23">
        <v>8.7302083333333336</v>
      </c>
      <c r="J14" s="23" t="s">
        <v>79</v>
      </c>
      <c r="K14" s="23" t="s">
        <v>79</v>
      </c>
      <c r="L14" s="23" t="s">
        <v>79</v>
      </c>
      <c r="M14" s="23" t="s">
        <v>79</v>
      </c>
      <c r="N14" s="23" t="s">
        <v>79</v>
      </c>
      <c r="O14" s="23" t="s">
        <v>79</v>
      </c>
      <c r="P14" s="23">
        <v>8.4879100798611091</v>
      </c>
      <c r="Q14" s="23">
        <v>2.9100694444444444</v>
      </c>
      <c r="R14" s="23">
        <v>5.8136370410007601</v>
      </c>
      <c r="S14" s="23">
        <v>1.9931982496194829</v>
      </c>
      <c r="T14" s="23">
        <v>2.9813523287183386</v>
      </c>
      <c r="U14" s="23">
        <v>0.79216853510517904</v>
      </c>
      <c r="V14" s="109">
        <v>8</v>
      </c>
      <c r="W14" s="109" t="s">
        <v>79</v>
      </c>
      <c r="X14" s="109" t="s">
        <v>79</v>
      </c>
      <c r="Y14" s="187" t="s">
        <v>337</v>
      </c>
      <c r="Z14" s="177" t="s">
        <v>10</v>
      </c>
    </row>
    <row r="15" spans="2:26" x14ac:dyDescent="0.3">
      <c r="B15" s="176" t="s">
        <v>338</v>
      </c>
      <c r="C15" s="183" t="s">
        <v>261</v>
      </c>
      <c r="D15" s="22" t="s">
        <v>31</v>
      </c>
      <c r="E15" s="109" t="s">
        <v>327</v>
      </c>
      <c r="F15" s="350">
        <v>250</v>
      </c>
      <c r="G15" s="350">
        <v>250</v>
      </c>
      <c r="H15" s="23">
        <v>2.6061487912352801</v>
      </c>
      <c r="I15" s="23">
        <v>0.73065065995914757</v>
      </c>
      <c r="J15" s="23" t="s">
        <v>79</v>
      </c>
      <c r="K15" s="23" t="s">
        <v>79</v>
      </c>
      <c r="L15" s="35" t="s">
        <v>79</v>
      </c>
      <c r="M15" s="35" t="s">
        <v>79</v>
      </c>
      <c r="N15" s="23" t="s">
        <v>79</v>
      </c>
      <c r="O15" s="23" t="s">
        <v>79</v>
      </c>
      <c r="P15" s="23">
        <v>0.86871626374509203</v>
      </c>
      <c r="Q15" s="23">
        <v>0.24355021998638254</v>
      </c>
      <c r="R15" s="23">
        <v>0.59501113955143303</v>
      </c>
      <c r="S15" s="23">
        <v>0.16681521916875511</v>
      </c>
      <c r="T15" s="23">
        <v>0.23532994582466585</v>
      </c>
      <c r="U15" s="184">
        <v>6.3166612447475901E-2</v>
      </c>
      <c r="V15" s="109" t="s">
        <v>79</v>
      </c>
      <c r="W15" s="109" t="s">
        <v>79</v>
      </c>
      <c r="X15" s="109" t="s">
        <v>79</v>
      </c>
      <c r="Y15" s="187" t="s">
        <v>339</v>
      </c>
      <c r="Z15" s="177" t="s">
        <v>340</v>
      </c>
    </row>
    <row r="16" spans="2:26" x14ac:dyDescent="0.3">
      <c r="B16" s="176" t="s">
        <v>341</v>
      </c>
      <c r="C16" s="183" t="s">
        <v>262</v>
      </c>
      <c r="D16" s="22" t="s">
        <v>31</v>
      </c>
      <c r="E16" s="109" t="s">
        <v>327</v>
      </c>
      <c r="F16" s="350">
        <v>250</v>
      </c>
      <c r="G16" s="350">
        <v>250</v>
      </c>
      <c r="H16" s="23">
        <v>14.065415855233733</v>
      </c>
      <c r="I16" s="23">
        <v>3.9671590211294276</v>
      </c>
      <c r="J16" s="23" t="s">
        <v>79</v>
      </c>
      <c r="K16" s="23" t="s">
        <v>79</v>
      </c>
      <c r="L16" s="35" t="s">
        <v>79</v>
      </c>
      <c r="M16" s="35" t="s">
        <v>79</v>
      </c>
      <c r="N16" s="23" t="s">
        <v>79</v>
      </c>
      <c r="O16" s="23" t="s">
        <v>79</v>
      </c>
      <c r="P16" s="23">
        <v>4.6884719517445772</v>
      </c>
      <c r="Q16" s="23">
        <v>1.322386340376476</v>
      </c>
      <c r="R16" s="23">
        <v>3.2112821587291629</v>
      </c>
      <c r="S16" s="23">
        <v>0.90574406875101077</v>
      </c>
      <c r="T16" s="23">
        <v>1.2790528823808092</v>
      </c>
      <c r="U16" s="23">
        <v>0.34197878186623648</v>
      </c>
      <c r="V16" s="109" t="s">
        <v>79</v>
      </c>
      <c r="W16" s="109" t="s">
        <v>79</v>
      </c>
      <c r="X16" s="109" t="s">
        <v>79</v>
      </c>
      <c r="Y16" s="187" t="s">
        <v>339</v>
      </c>
      <c r="Z16" s="177" t="s">
        <v>340</v>
      </c>
    </row>
    <row r="17" spans="2:26" x14ac:dyDescent="0.3">
      <c r="B17" s="176" t="s">
        <v>342</v>
      </c>
      <c r="C17" s="183" t="s">
        <v>263</v>
      </c>
      <c r="D17" s="22" t="s">
        <v>31</v>
      </c>
      <c r="E17" s="109" t="s">
        <v>327</v>
      </c>
      <c r="F17" s="350">
        <v>250</v>
      </c>
      <c r="G17" s="350">
        <v>250</v>
      </c>
      <c r="H17" s="23">
        <v>1.4178943125029499</v>
      </c>
      <c r="I17" s="23">
        <v>0.39652216952982861</v>
      </c>
      <c r="J17" s="23" t="s">
        <v>79</v>
      </c>
      <c r="K17" s="23" t="s">
        <v>79</v>
      </c>
      <c r="L17" s="35" t="s">
        <v>79</v>
      </c>
      <c r="M17" s="35" t="s">
        <v>79</v>
      </c>
      <c r="N17" s="23" t="s">
        <v>79</v>
      </c>
      <c r="O17" s="23" t="s">
        <v>79</v>
      </c>
      <c r="P17" s="23">
        <v>0.4726314375009833</v>
      </c>
      <c r="Q17" s="23">
        <v>0.13217405650994288</v>
      </c>
      <c r="R17" s="23">
        <v>0.32372016267190634</v>
      </c>
      <c r="S17" s="23">
        <v>9.0530175691741668E-2</v>
      </c>
      <c r="T17" s="184">
        <v>0.12835177742733433</v>
      </c>
      <c r="U17" s="184">
        <v>3.4169467172175137E-2</v>
      </c>
      <c r="V17" s="109" t="s">
        <v>79</v>
      </c>
      <c r="W17" s="109" t="s">
        <v>79</v>
      </c>
      <c r="X17" s="109" t="s">
        <v>79</v>
      </c>
      <c r="Y17" s="187" t="s">
        <v>339</v>
      </c>
      <c r="Z17" s="177" t="s">
        <v>340</v>
      </c>
    </row>
    <row r="18" spans="2:26" ht="26" x14ac:dyDescent="0.3">
      <c r="B18" s="176" t="s">
        <v>343</v>
      </c>
      <c r="C18" s="183" t="s">
        <v>264</v>
      </c>
      <c r="D18" s="22" t="s">
        <v>31</v>
      </c>
      <c r="E18" s="109" t="s">
        <v>327</v>
      </c>
      <c r="F18" s="350">
        <v>250</v>
      </c>
      <c r="G18" s="350">
        <v>250</v>
      </c>
      <c r="H18" s="342">
        <v>32.08</v>
      </c>
      <c r="I18" s="23">
        <v>2.1</v>
      </c>
      <c r="J18" s="23">
        <v>1.6</v>
      </c>
      <c r="K18" s="23">
        <v>1.2716666666666667</v>
      </c>
      <c r="L18" s="35">
        <v>240</v>
      </c>
      <c r="M18" s="35">
        <v>240</v>
      </c>
      <c r="N18" s="501">
        <v>17.100000000000001</v>
      </c>
      <c r="O18" s="501">
        <v>17.100000000000001</v>
      </c>
      <c r="P18" s="343">
        <v>10.693333333333333</v>
      </c>
      <c r="Q18" s="501">
        <v>0.70000000000000007</v>
      </c>
      <c r="R18" s="23">
        <v>7.3242009132420094</v>
      </c>
      <c r="S18" s="23">
        <v>0.47945205479452052</v>
      </c>
      <c r="T18" s="23">
        <v>3.7560004683292356</v>
      </c>
      <c r="U18" s="23">
        <v>0.19055145767474535</v>
      </c>
      <c r="V18" s="109">
        <v>63</v>
      </c>
      <c r="W18" s="186">
        <v>3</v>
      </c>
      <c r="X18" s="186">
        <v>1</v>
      </c>
      <c r="Y18" s="187" t="s">
        <v>344</v>
      </c>
      <c r="Z18" s="177" t="s">
        <v>10</v>
      </c>
    </row>
    <row r="19" spans="2:26" x14ac:dyDescent="0.3">
      <c r="B19" s="176" t="s">
        <v>343</v>
      </c>
      <c r="C19" s="183" t="s">
        <v>264</v>
      </c>
      <c r="D19" s="22" t="s">
        <v>34</v>
      </c>
      <c r="E19" s="109" t="s">
        <v>327</v>
      </c>
      <c r="F19" s="350">
        <v>250</v>
      </c>
      <c r="G19" s="350">
        <v>250</v>
      </c>
      <c r="H19" s="23">
        <v>5.2327499999999976</v>
      </c>
      <c r="I19" s="23">
        <v>0.60612500000000002</v>
      </c>
      <c r="J19" s="23" t="s">
        <v>79</v>
      </c>
      <c r="K19" s="23" t="s">
        <v>79</v>
      </c>
      <c r="L19" s="35" t="s">
        <v>79</v>
      </c>
      <c r="M19" s="35" t="s">
        <v>79</v>
      </c>
      <c r="N19" s="35" t="s">
        <v>79</v>
      </c>
      <c r="O19" s="35" t="s">
        <v>79</v>
      </c>
      <c r="P19" s="23">
        <v>1.7442499999999992</v>
      </c>
      <c r="Q19" s="23">
        <v>0.20204166666666667</v>
      </c>
      <c r="R19" s="23">
        <v>1.1946917808219171</v>
      </c>
      <c r="S19" s="23">
        <v>0.13838470319634702</v>
      </c>
      <c r="T19" s="23">
        <v>0.61266245170354727</v>
      </c>
      <c r="U19" s="23">
        <v>5.4999048706240485E-2</v>
      </c>
      <c r="V19" s="109">
        <v>12</v>
      </c>
      <c r="W19" s="186" t="s">
        <v>79</v>
      </c>
      <c r="X19" s="186" t="s">
        <v>79</v>
      </c>
      <c r="Y19" s="187" t="s">
        <v>345</v>
      </c>
      <c r="Z19" s="177" t="s">
        <v>10</v>
      </c>
    </row>
    <row r="20" spans="2:26" ht="26" x14ac:dyDescent="0.3">
      <c r="B20" s="176">
        <v>3</v>
      </c>
      <c r="C20" s="183" t="s">
        <v>266</v>
      </c>
      <c r="D20" s="22" t="s">
        <v>31</v>
      </c>
      <c r="E20" s="109" t="s">
        <v>327</v>
      </c>
      <c r="F20" s="350">
        <v>250</v>
      </c>
      <c r="G20" s="350">
        <v>250</v>
      </c>
      <c r="H20" s="23">
        <v>0.25302083333333325</v>
      </c>
      <c r="I20" s="23">
        <v>7.2187500000000002E-2</v>
      </c>
      <c r="J20" s="23">
        <v>8.5625000000000007E-2</v>
      </c>
      <c r="K20" s="23">
        <v>1.9712500000000001E-2</v>
      </c>
      <c r="L20" s="35">
        <v>240</v>
      </c>
      <c r="M20" s="35">
        <v>240</v>
      </c>
      <c r="N20" s="23" t="s">
        <v>79</v>
      </c>
      <c r="O20" s="23" t="s">
        <v>79</v>
      </c>
      <c r="P20" s="23">
        <v>8.434027777777775E-2</v>
      </c>
      <c r="Q20" s="23">
        <v>2.4062500000000001E-2</v>
      </c>
      <c r="R20" s="23">
        <v>5.7767313546423116E-2</v>
      </c>
      <c r="S20" s="23">
        <v>1.6481164383561644E-2</v>
      </c>
      <c r="T20" s="23">
        <v>2.9624263357140062E-2</v>
      </c>
      <c r="U20" s="23">
        <v>6.5502063575693711E-3</v>
      </c>
      <c r="V20" s="109">
        <v>13</v>
      </c>
      <c r="W20" s="109">
        <v>3</v>
      </c>
      <c r="X20" s="109" t="s">
        <v>79</v>
      </c>
      <c r="Y20" s="187" t="s">
        <v>346</v>
      </c>
      <c r="Z20" s="177" t="s">
        <v>10</v>
      </c>
    </row>
    <row r="21" spans="2:26" x14ac:dyDescent="0.3">
      <c r="B21" s="176">
        <v>3</v>
      </c>
      <c r="C21" s="183" t="s">
        <v>266</v>
      </c>
      <c r="D21" s="22" t="s">
        <v>34</v>
      </c>
      <c r="E21" s="109" t="s">
        <v>327</v>
      </c>
      <c r="F21" s="350">
        <v>250</v>
      </c>
      <c r="G21" s="350">
        <v>250</v>
      </c>
      <c r="H21" s="23">
        <v>9.5754166666666668E-2</v>
      </c>
      <c r="I21" s="23">
        <v>6.542708333333333E-2</v>
      </c>
      <c r="J21" s="23" t="s">
        <v>79</v>
      </c>
      <c r="K21" s="23" t="s">
        <v>79</v>
      </c>
      <c r="L21" s="35" t="s">
        <v>79</v>
      </c>
      <c r="M21" s="35" t="s">
        <v>79</v>
      </c>
      <c r="N21" s="23" t="s">
        <v>79</v>
      </c>
      <c r="O21" s="23" t="s">
        <v>79</v>
      </c>
      <c r="P21" s="23">
        <v>3.1918055555555554E-2</v>
      </c>
      <c r="Q21" s="23">
        <v>2.1809027777777778E-2</v>
      </c>
      <c r="R21" s="23">
        <v>2.1861681887366816E-2</v>
      </c>
      <c r="S21" s="23">
        <v>1.4937690258751902E-2</v>
      </c>
      <c r="T21" s="23">
        <v>1.1211118916598367E-2</v>
      </c>
      <c r="U21" s="184">
        <v>5.9367743336065249E-3</v>
      </c>
      <c r="V21" s="109">
        <v>2</v>
      </c>
      <c r="W21" s="109" t="s">
        <v>79</v>
      </c>
      <c r="X21" s="109" t="s">
        <v>79</v>
      </c>
      <c r="Y21" s="187" t="s">
        <v>347</v>
      </c>
      <c r="Z21" s="177" t="s">
        <v>10</v>
      </c>
    </row>
    <row r="22" spans="2:26" x14ac:dyDescent="0.3">
      <c r="B22" s="176">
        <v>4</v>
      </c>
      <c r="C22" s="183" t="s">
        <v>267</v>
      </c>
      <c r="D22" s="22" t="s">
        <v>31</v>
      </c>
      <c r="E22" s="109" t="s">
        <v>327</v>
      </c>
      <c r="F22" s="350">
        <v>250</v>
      </c>
      <c r="G22" s="350">
        <v>250</v>
      </c>
      <c r="H22" s="35">
        <v>185.87801566681597</v>
      </c>
      <c r="I22" s="23">
        <v>78.089825750789657</v>
      </c>
      <c r="J22" s="23" t="s">
        <v>79</v>
      </c>
      <c r="K22" s="23" t="s">
        <v>79</v>
      </c>
      <c r="L22" s="23" t="s">
        <v>79</v>
      </c>
      <c r="M22" s="23" t="s">
        <v>79</v>
      </c>
      <c r="N22" s="23" t="s">
        <v>79</v>
      </c>
      <c r="O22" s="23" t="s">
        <v>79</v>
      </c>
      <c r="P22" s="23">
        <v>61.959338555605321</v>
      </c>
      <c r="Q22" s="23">
        <v>26.029941916929886</v>
      </c>
      <c r="R22" s="23">
        <v>42.437903120277625</v>
      </c>
      <c r="S22" s="23">
        <v>17.828727340362938</v>
      </c>
      <c r="T22" s="23">
        <v>17.479268158896023</v>
      </c>
      <c r="U22" s="23">
        <v>6.7340042662196904</v>
      </c>
      <c r="V22" s="109" t="s">
        <v>79</v>
      </c>
      <c r="W22" s="109" t="s">
        <v>79</v>
      </c>
      <c r="X22" s="188" t="s">
        <v>79</v>
      </c>
      <c r="Y22" s="187" t="s">
        <v>348</v>
      </c>
      <c r="Z22" s="177" t="s">
        <v>340</v>
      </c>
    </row>
    <row r="23" spans="2:26" x14ac:dyDescent="0.3">
      <c r="B23" s="176">
        <v>4</v>
      </c>
      <c r="C23" s="183" t="s">
        <v>267</v>
      </c>
      <c r="D23" s="22" t="s">
        <v>34</v>
      </c>
      <c r="E23" s="109" t="s">
        <v>327</v>
      </c>
      <c r="F23" s="350">
        <v>250</v>
      </c>
      <c r="G23" s="350">
        <v>250</v>
      </c>
      <c r="H23" s="35">
        <v>126.1111034545093</v>
      </c>
      <c r="I23" s="23">
        <v>40.8751352746878</v>
      </c>
      <c r="J23" s="23" t="s">
        <v>79</v>
      </c>
      <c r="K23" s="23" t="s">
        <v>79</v>
      </c>
      <c r="L23" s="23" t="s">
        <v>79</v>
      </c>
      <c r="M23" s="23" t="s">
        <v>79</v>
      </c>
      <c r="N23" s="23" t="s">
        <v>79</v>
      </c>
      <c r="O23" s="23" t="s">
        <v>79</v>
      </c>
      <c r="P23" s="23">
        <v>42.037034484836433</v>
      </c>
      <c r="Q23" s="23">
        <v>13.625045091562599</v>
      </c>
      <c r="R23" s="23">
        <v>28.792489373175638</v>
      </c>
      <c r="S23" s="23">
        <v>9.3322226654538358</v>
      </c>
      <c r="T23" s="23">
        <v>11.617323477970499</v>
      </c>
      <c r="U23" s="23">
        <v>3.5171216637599083</v>
      </c>
      <c r="V23" s="109" t="s">
        <v>79</v>
      </c>
      <c r="W23" s="109" t="s">
        <v>79</v>
      </c>
      <c r="X23" s="188" t="s">
        <v>79</v>
      </c>
      <c r="Y23" s="187" t="s">
        <v>348</v>
      </c>
      <c r="Z23" s="177" t="s">
        <v>340</v>
      </c>
    </row>
    <row r="24" spans="2:26" x14ac:dyDescent="0.3">
      <c r="B24" s="176">
        <v>5</v>
      </c>
      <c r="C24" s="183" t="s">
        <v>268</v>
      </c>
      <c r="D24" s="22" t="s">
        <v>31</v>
      </c>
      <c r="E24" s="109" t="s">
        <v>327</v>
      </c>
      <c r="F24" s="350">
        <v>250</v>
      </c>
      <c r="G24" s="350">
        <v>250</v>
      </c>
      <c r="H24" s="23">
        <v>1.8018543740439092</v>
      </c>
      <c r="I24" s="23">
        <v>0.61088651067315736</v>
      </c>
      <c r="J24" s="23" t="s">
        <v>79</v>
      </c>
      <c r="K24" s="23" t="s">
        <v>79</v>
      </c>
      <c r="L24" s="23" t="s">
        <v>79</v>
      </c>
      <c r="M24" s="23" t="s">
        <v>79</v>
      </c>
      <c r="N24" s="23" t="s">
        <v>79</v>
      </c>
      <c r="O24" s="23" t="s">
        <v>79</v>
      </c>
      <c r="P24" s="23">
        <v>0.60061812468130304</v>
      </c>
      <c r="Q24" s="23">
        <v>0.20362883689105246</v>
      </c>
      <c r="R24" s="23">
        <v>0.41138227717897474</v>
      </c>
      <c r="S24" s="23">
        <v>0.13947180608976192</v>
      </c>
      <c r="T24" s="23">
        <v>0.16656119144433099</v>
      </c>
      <c r="U24" s="23">
        <v>5.2522680420152387E-2</v>
      </c>
      <c r="V24" s="109" t="s">
        <v>79</v>
      </c>
      <c r="W24" s="109" t="s">
        <v>79</v>
      </c>
      <c r="X24" s="188" t="s">
        <v>79</v>
      </c>
      <c r="Y24" s="187" t="s">
        <v>349</v>
      </c>
      <c r="Z24" s="177" t="s">
        <v>340</v>
      </c>
    </row>
    <row r="25" spans="2:26" x14ac:dyDescent="0.3">
      <c r="B25" s="176">
        <v>5</v>
      </c>
      <c r="C25" s="183" t="s">
        <v>268</v>
      </c>
      <c r="D25" s="22" t="s">
        <v>34</v>
      </c>
      <c r="E25" s="109" t="s">
        <v>327</v>
      </c>
      <c r="F25" s="350">
        <v>250</v>
      </c>
      <c r="G25" s="350">
        <v>250</v>
      </c>
      <c r="H25" s="23">
        <v>1.1711174815939884</v>
      </c>
      <c r="I25" s="23">
        <v>0.31954563204735476</v>
      </c>
      <c r="J25" s="23" t="s">
        <v>79</v>
      </c>
      <c r="K25" s="23" t="s">
        <v>79</v>
      </c>
      <c r="L25" s="23" t="s">
        <v>79</v>
      </c>
      <c r="M25" s="23" t="s">
        <v>79</v>
      </c>
      <c r="N25" s="23" t="s">
        <v>79</v>
      </c>
      <c r="O25" s="23" t="s">
        <v>79</v>
      </c>
      <c r="P25" s="23">
        <v>0.39037249386466283</v>
      </c>
      <c r="Q25" s="23">
        <v>0.10651521068245158</v>
      </c>
      <c r="R25" s="23">
        <v>0.26737842045524851</v>
      </c>
      <c r="S25" s="23">
        <v>7.2955623755103824E-2</v>
      </c>
      <c r="T25" s="23">
        <v>0.10623241761611688</v>
      </c>
      <c r="U25" s="23">
        <v>2.7465251586139886E-2</v>
      </c>
      <c r="V25" s="109" t="s">
        <v>79</v>
      </c>
      <c r="W25" s="109" t="s">
        <v>79</v>
      </c>
      <c r="X25" s="188" t="s">
        <v>79</v>
      </c>
      <c r="Y25" s="187" t="s">
        <v>349</v>
      </c>
      <c r="Z25" s="177" t="s">
        <v>340</v>
      </c>
    </row>
    <row r="26" spans="2:26" ht="26" x14ac:dyDescent="0.3">
      <c r="B26" s="176" t="s">
        <v>350</v>
      </c>
      <c r="C26" s="183" t="s">
        <v>269</v>
      </c>
      <c r="D26" s="22" t="s">
        <v>31</v>
      </c>
      <c r="E26" s="109" t="s">
        <v>327</v>
      </c>
      <c r="F26" s="350">
        <v>250</v>
      </c>
      <c r="G26" s="350">
        <v>250</v>
      </c>
      <c r="H26" s="23">
        <v>4.1289499999999952</v>
      </c>
      <c r="I26" s="23">
        <v>1.4</v>
      </c>
      <c r="J26" s="23">
        <v>4.28</v>
      </c>
      <c r="K26" s="23">
        <v>2.9133333333333336</v>
      </c>
      <c r="L26" s="35">
        <v>240</v>
      </c>
      <c r="M26" s="35">
        <v>240</v>
      </c>
      <c r="N26" s="23" t="s">
        <v>79</v>
      </c>
      <c r="O26" s="23" t="s">
        <v>79</v>
      </c>
      <c r="P26" s="23">
        <v>1.3763166666666651</v>
      </c>
      <c r="Q26" s="23">
        <v>0.46666666666666662</v>
      </c>
      <c r="R26" s="23">
        <v>0.94268264840182547</v>
      </c>
      <c r="S26" s="23">
        <v>0.31963470319634701</v>
      </c>
      <c r="T26" s="23">
        <v>0.48342699918042331</v>
      </c>
      <c r="U26" s="23">
        <v>0.12703430511649691</v>
      </c>
      <c r="V26" s="109">
        <v>29</v>
      </c>
      <c r="W26" s="186">
        <v>5</v>
      </c>
      <c r="X26" s="186" t="s">
        <v>79</v>
      </c>
      <c r="Y26" s="187" t="s">
        <v>351</v>
      </c>
      <c r="Z26" s="177" t="s">
        <v>10</v>
      </c>
    </row>
    <row r="27" spans="2:26" x14ac:dyDescent="0.3">
      <c r="B27" s="176" t="s">
        <v>352</v>
      </c>
      <c r="C27" s="183" t="s">
        <v>269</v>
      </c>
      <c r="D27" s="22" t="s">
        <v>31</v>
      </c>
      <c r="E27" s="109" t="s">
        <v>327</v>
      </c>
      <c r="F27" s="350">
        <v>250</v>
      </c>
      <c r="G27" s="350">
        <v>250</v>
      </c>
      <c r="H27" s="23">
        <v>1.5358992540804746</v>
      </c>
      <c r="I27" s="184">
        <v>2.3973076420365511E-3</v>
      </c>
      <c r="J27" s="23" t="s">
        <v>79</v>
      </c>
      <c r="K27" s="23" t="s">
        <v>79</v>
      </c>
      <c r="L27" s="23" t="s">
        <v>79</v>
      </c>
      <c r="M27" s="23" t="s">
        <v>79</v>
      </c>
      <c r="N27" s="23" t="s">
        <v>79</v>
      </c>
      <c r="O27" s="23" t="s">
        <v>79</v>
      </c>
      <c r="P27" s="23">
        <v>0.51196641802682485</v>
      </c>
      <c r="Q27" s="184">
        <v>7.9910254734551699E-4</v>
      </c>
      <c r="R27" s="23">
        <v>0.3506619301553594</v>
      </c>
      <c r="S27" s="184">
        <v>5.4733051188049118E-4</v>
      </c>
      <c r="T27" s="23">
        <v>0.12934380566945697</v>
      </c>
      <c r="U27" s="184">
        <v>2.0350643688327576E-4</v>
      </c>
      <c r="V27" s="109" t="s">
        <v>79</v>
      </c>
      <c r="W27" s="109" t="s">
        <v>79</v>
      </c>
      <c r="X27" s="188" t="s">
        <v>79</v>
      </c>
      <c r="Y27" s="187" t="s">
        <v>353</v>
      </c>
      <c r="Z27" s="177" t="s">
        <v>340</v>
      </c>
    </row>
    <row r="28" spans="2:26" x14ac:dyDescent="0.3">
      <c r="B28" s="176" t="s">
        <v>352</v>
      </c>
      <c r="C28" s="183" t="s">
        <v>269</v>
      </c>
      <c r="D28" s="22" t="s">
        <v>34</v>
      </c>
      <c r="E28" s="109" t="s">
        <v>327</v>
      </c>
      <c r="F28" s="350">
        <v>250</v>
      </c>
      <c r="G28" s="350">
        <v>250</v>
      </c>
      <c r="H28" s="23">
        <v>0.77968751960660099</v>
      </c>
      <c r="I28" s="184">
        <v>1.2409174068231143E-3</v>
      </c>
      <c r="J28" s="23" t="s">
        <v>79</v>
      </c>
      <c r="K28" s="23" t="s">
        <v>79</v>
      </c>
      <c r="L28" s="23" t="s">
        <v>79</v>
      </c>
      <c r="M28" s="23" t="s">
        <v>79</v>
      </c>
      <c r="N28" s="23" t="s">
        <v>79</v>
      </c>
      <c r="O28" s="23" t="s">
        <v>79</v>
      </c>
      <c r="P28" s="23">
        <v>0.259895839868867</v>
      </c>
      <c r="Q28" s="184">
        <v>4.1363913560770474E-4</v>
      </c>
      <c r="R28" s="23">
        <v>0.17801084922525134</v>
      </c>
      <c r="S28" s="184">
        <v>2.8331447644363341E-4</v>
      </c>
      <c r="T28" s="23">
        <v>6.7073289498161284E-2</v>
      </c>
      <c r="U28" s="184">
        <v>1.0528953536406387E-4</v>
      </c>
      <c r="V28" s="109" t="s">
        <v>79</v>
      </c>
      <c r="W28" s="109" t="s">
        <v>79</v>
      </c>
      <c r="X28" s="188" t="s">
        <v>79</v>
      </c>
      <c r="Y28" s="187" t="s">
        <v>353</v>
      </c>
      <c r="Z28" s="177" t="s">
        <v>340</v>
      </c>
    </row>
    <row r="29" spans="2:26" ht="26" x14ac:dyDescent="0.3">
      <c r="B29" s="176" t="s">
        <v>354</v>
      </c>
      <c r="C29" s="183" t="s">
        <v>270</v>
      </c>
      <c r="D29" s="22" t="s">
        <v>31</v>
      </c>
      <c r="E29" s="109" t="s">
        <v>327</v>
      </c>
      <c r="F29" s="109">
        <v>250</v>
      </c>
      <c r="G29" s="109">
        <v>250</v>
      </c>
      <c r="H29" s="23">
        <v>7.4949999999999957</v>
      </c>
      <c r="I29" s="23">
        <v>1.4089635416666666</v>
      </c>
      <c r="J29" s="23" t="s">
        <v>79</v>
      </c>
      <c r="K29" s="23" t="s">
        <v>79</v>
      </c>
      <c r="L29" s="35" t="s">
        <v>79</v>
      </c>
      <c r="M29" s="35" t="s">
        <v>79</v>
      </c>
      <c r="N29" s="35">
        <v>123.20999999999992</v>
      </c>
      <c r="O29" s="23">
        <v>29.25</v>
      </c>
      <c r="P29" s="23">
        <v>2.4983333333333317</v>
      </c>
      <c r="Q29" s="23">
        <v>0.46965451388888885</v>
      </c>
      <c r="R29" s="23">
        <v>1.7111872146118712</v>
      </c>
      <c r="S29" s="23">
        <v>0.3216811738964992</v>
      </c>
      <c r="T29" s="23">
        <v>0.87753190492916466</v>
      </c>
      <c r="U29" s="23">
        <v>0.12784764603578816</v>
      </c>
      <c r="V29" s="109">
        <v>144</v>
      </c>
      <c r="W29" s="186" t="s">
        <v>79</v>
      </c>
      <c r="X29" s="186">
        <v>67</v>
      </c>
      <c r="Y29" s="187" t="s">
        <v>355</v>
      </c>
      <c r="Z29" s="177" t="s">
        <v>10</v>
      </c>
    </row>
    <row r="30" spans="2:26" x14ac:dyDescent="0.3">
      <c r="B30" s="176" t="s">
        <v>356</v>
      </c>
      <c r="C30" s="183" t="s">
        <v>270</v>
      </c>
      <c r="D30" s="22" t="s">
        <v>31</v>
      </c>
      <c r="E30" s="109" t="s">
        <v>327</v>
      </c>
      <c r="F30" s="109">
        <v>250</v>
      </c>
      <c r="G30" s="109">
        <v>250</v>
      </c>
      <c r="H30" s="23">
        <v>17.2</v>
      </c>
      <c r="I30" s="23">
        <v>5.48</v>
      </c>
      <c r="J30" s="23">
        <v>50.141045811232722</v>
      </c>
      <c r="K30" s="23">
        <v>16.85053673280937</v>
      </c>
      <c r="L30" s="35">
        <v>60</v>
      </c>
      <c r="M30" s="35">
        <v>60</v>
      </c>
      <c r="N30" s="23" t="s">
        <v>79</v>
      </c>
      <c r="O30" s="23" t="s">
        <v>79</v>
      </c>
      <c r="P30" s="23">
        <v>5.7300157458503529</v>
      </c>
      <c r="Q30" s="23">
        <v>1.8280640639521215</v>
      </c>
      <c r="R30" s="23">
        <v>3.92</v>
      </c>
      <c r="S30" s="23">
        <v>1.25</v>
      </c>
      <c r="T30" s="23">
        <v>1.57</v>
      </c>
      <c r="U30" s="23">
        <v>0.47</v>
      </c>
      <c r="V30" s="109" t="s">
        <v>79</v>
      </c>
      <c r="W30" s="109" t="s">
        <v>79</v>
      </c>
      <c r="X30" s="188" t="s">
        <v>79</v>
      </c>
      <c r="Y30" s="187" t="s">
        <v>357</v>
      </c>
      <c r="Z30" s="177" t="s">
        <v>340</v>
      </c>
    </row>
    <row r="31" spans="2:26" x14ac:dyDescent="0.3">
      <c r="B31" s="176" t="s">
        <v>356</v>
      </c>
      <c r="C31" s="183" t="s">
        <v>270</v>
      </c>
      <c r="D31" s="22" t="s">
        <v>34</v>
      </c>
      <c r="E31" s="109" t="s">
        <v>327</v>
      </c>
      <c r="F31" s="109">
        <v>250</v>
      </c>
      <c r="G31" s="109">
        <v>250</v>
      </c>
      <c r="H31" s="23">
        <v>0.74</v>
      </c>
      <c r="I31" s="23">
        <v>0.1</v>
      </c>
      <c r="J31" s="23">
        <v>2.213759593941278</v>
      </c>
      <c r="K31" s="23">
        <v>0.30794301561010912</v>
      </c>
      <c r="L31" s="35">
        <v>60</v>
      </c>
      <c r="M31" s="35">
        <v>60</v>
      </c>
      <c r="N31" s="23" t="s">
        <v>79</v>
      </c>
      <c r="O31" s="23" t="s">
        <v>79</v>
      </c>
      <c r="P31" s="23">
        <v>0.24675667433945639</v>
      </c>
      <c r="Q31" s="23">
        <v>3.3531703024067196E-2</v>
      </c>
      <c r="R31" s="23">
        <v>0.17</v>
      </c>
      <c r="S31" s="23">
        <v>0.02</v>
      </c>
      <c r="T31" s="23">
        <v>7.0000000000000007E-2</v>
      </c>
      <c r="U31" s="23">
        <v>0.01</v>
      </c>
      <c r="V31" s="109" t="s">
        <v>79</v>
      </c>
      <c r="W31" s="109" t="s">
        <v>79</v>
      </c>
      <c r="X31" s="188" t="s">
        <v>79</v>
      </c>
      <c r="Y31" s="187" t="s">
        <v>357</v>
      </c>
      <c r="Z31" s="177" t="s">
        <v>340</v>
      </c>
    </row>
    <row r="32" spans="2:26" x14ac:dyDescent="0.3">
      <c r="B32" s="176" t="s">
        <v>358</v>
      </c>
      <c r="C32" s="183" t="s">
        <v>271</v>
      </c>
      <c r="D32" s="22" t="s">
        <v>31</v>
      </c>
      <c r="E32" s="109" t="s">
        <v>327</v>
      </c>
      <c r="F32" s="109">
        <v>293</v>
      </c>
      <c r="G32" s="109">
        <v>258</v>
      </c>
      <c r="H32" s="23">
        <v>16.974664757187476</v>
      </c>
      <c r="I32" s="23">
        <v>2.1506664375</v>
      </c>
      <c r="J32" s="23" t="s">
        <v>79</v>
      </c>
      <c r="K32" s="23" t="s">
        <v>79</v>
      </c>
      <c r="L32" s="23" t="s">
        <v>79</v>
      </c>
      <c r="M32" s="23" t="s">
        <v>79</v>
      </c>
      <c r="N32" s="23">
        <v>94.16</v>
      </c>
      <c r="O32" s="23">
        <v>33.118000000000002</v>
      </c>
      <c r="P32" s="23">
        <v>5.6582215857291587</v>
      </c>
      <c r="Q32" s="23">
        <v>0.71688881250000003</v>
      </c>
      <c r="R32" s="23">
        <v>4.5420792455305303</v>
      </c>
      <c r="S32" s="23">
        <v>0.50673236609589034</v>
      </c>
      <c r="T32" s="23">
        <v>2.3292714079643746</v>
      </c>
      <c r="U32" s="23">
        <v>0.2013936326791359</v>
      </c>
      <c r="V32" s="109">
        <v>74</v>
      </c>
      <c r="W32" s="109" t="s">
        <v>79</v>
      </c>
      <c r="X32" s="188">
        <v>9</v>
      </c>
      <c r="Y32" s="187" t="s">
        <v>359</v>
      </c>
      <c r="Z32" s="177" t="s">
        <v>10</v>
      </c>
    </row>
    <row r="33" spans="2:26" x14ac:dyDescent="0.3">
      <c r="B33" s="176" t="s">
        <v>358</v>
      </c>
      <c r="C33" s="183" t="s">
        <v>271</v>
      </c>
      <c r="D33" s="22" t="s">
        <v>34</v>
      </c>
      <c r="E33" s="109" t="s">
        <v>327</v>
      </c>
      <c r="F33" s="109">
        <v>293</v>
      </c>
      <c r="G33" s="109">
        <v>258</v>
      </c>
      <c r="H33" s="23">
        <v>0.34731250000000002</v>
      </c>
      <c r="I33" s="23">
        <v>0.34731250000000002</v>
      </c>
      <c r="J33" s="23" t="s">
        <v>79</v>
      </c>
      <c r="K33" s="23" t="s">
        <v>79</v>
      </c>
      <c r="L33" s="23" t="s">
        <v>79</v>
      </c>
      <c r="M33" s="23" t="s">
        <v>79</v>
      </c>
      <c r="N33" s="23" t="s">
        <v>79</v>
      </c>
      <c r="O33" s="23" t="s">
        <v>79</v>
      </c>
      <c r="P33" s="23">
        <v>0.11577083333333334</v>
      </c>
      <c r="Q33" s="23">
        <v>0.11577083333333334</v>
      </c>
      <c r="R33" s="23">
        <v>9.2933847031963474E-2</v>
      </c>
      <c r="S33" s="23">
        <v>8.1832534246575356E-2</v>
      </c>
      <c r="T33" s="23">
        <v>4.7658383093314598E-2</v>
      </c>
      <c r="U33" s="23">
        <v>3.2523186687741484E-2</v>
      </c>
      <c r="V33" s="109">
        <v>1</v>
      </c>
      <c r="W33" s="109" t="s">
        <v>79</v>
      </c>
      <c r="X33" s="188">
        <v>0</v>
      </c>
      <c r="Y33" s="187" t="s">
        <v>360</v>
      </c>
      <c r="Z33" s="177" t="s">
        <v>10</v>
      </c>
    </row>
    <row r="34" spans="2:26" x14ac:dyDescent="0.3">
      <c r="B34" s="176" t="s">
        <v>361</v>
      </c>
      <c r="C34" s="183" t="s">
        <v>272</v>
      </c>
      <c r="D34" s="22" t="s">
        <v>31</v>
      </c>
      <c r="E34" s="109" t="s">
        <v>327</v>
      </c>
      <c r="F34" s="109">
        <v>293</v>
      </c>
      <c r="G34" s="109">
        <v>258</v>
      </c>
      <c r="H34" s="23">
        <v>5.5898499999999993</v>
      </c>
      <c r="I34" s="23">
        <v>0.97774791666666672</v>
      </c>
      <c r="J34" s="23" t="s">
        <v>79</v>
      </c>
      <c r="K34" s="23" t="s">
        <v>79</v>
      </c>
      <c r="L34" s="23" t="s">
        <v>79</v>
      </c>
      <c r="M34" s="23" t="s">
        <v>79</v>
      </c>
      <c r="N34" s="189">
        <v>898.5</v>
      </c>
      <c r="O34" s="23">
        <v>48.099999999999994</v>
      </c>
      <c r="P34" s="23">
        <v>1.8632833333333332</v>
      </c>
      <c r="Q34" s="23">
        <v>0.32591597222222224</v>
      </c>
      <c r="R34" s="23">
        <v>1.4957315525114154</v>
      </c>
      <c r="S34" s="23">
        <v>0.23037348173515984</v>
      </c>
      <c r="T34" s="23">
        <v>0.76704182180072589</v>
      </c>
      <c r="U34" s="23">
        <v>9.155869145884557E-2</v>
      </c>
      <c r="V34" s="109">
        <v>114</v>
      </c>
      <c r="W34" s="109" t="s">
        <v>79</v>
      </c>
      <c r="X34" s="188">
        <v>6</v>
      </c>
      <c r="Y34" s="187" t="s">
        <v>345</v>
      </c>
      <c r="Z34" s="177" t="s">
        <v>10</v>
      </c>
    </row>
    <row r="35" spans="2:26" x14ac:dyDescent="0.3">
      <c r="B35" s="176" t="s">
        <v>361</v>
      </c>
      <c r="C35" s="183" t="s">
        <v>272</v>
      </c>
      <c r="D35" s="22" t="s">
        <v>34</v>
      </c>
      <c r="E35" s="109" t="s">
        <v>327</v>
      </c>
      <c r="F35" s="109">
        <v>293</v>
      </c>
      <c r="G35" s="109">
        <v>258</v>
      </c>
      <c r="H35" s="23">
        <v>0.12272916666666665</v>
      </c>
      <c r="I35" s="23">
        <v>1.3949999999999999E-2</v>
      </c>
      <c r="J35" s="23" t="s">
        <v>79</v>
      </c>
      <c r="K35" s="23" t="s">
        <v>79</v>
      </c>
      <c r="L35" s="23" t="s">
        <v>79</v>
      </c>
      <c r="M35" s="23" t="s">
        <v>79</v>
      </c>
      <c r="N35" s="23" t="s">
        <v>79</v>
      </c>
      <c r="O35" s="23" t="s">
        <v>79</v>
      </c>
      <c r="P35" s="23">
        <v>4.0909722222222215E-2</v>
      </c>
      <c r="Q35" s="23">
        <v>4.6499999999999996E-3</v>
      </c>
      <c r="R35" s="23">
        <v>3.2839859208523586E-2</v>
      </c>
      <c r="S35" s="23">
        <v>3.2868493150684931E-3</v>
      </c>
      <c r="T35" s="23">
        <v>1.6840953440268504E-2</v>
      </c>
      <c r="U35" s="23">
        <v>1.3063119072708113E-3</v>
      </c>
      <c r="V35" s="109">
        <v>4</v>
      </c>
      <c r="W35" s="109" t="s">
        <v>79</v>
      </c>
      <c r="X35" s="188">
        <v>0</v>
      </c>
      <c r="Y35" s="187" t="s">
        <v>362</v>
      </c>
      <c r="Z35" s="177" t="s">
        <v>10</v>
      </c>
    </row>
    <row r="36" spans="2:26" x14ac:dyDescent="0.3">
      <c r="B36" s="176" t="s">
        <v>363</v>
      </c>
      <c r="C36" s="183" t="s">
        <v>271</v>
      </c>
      <c r="D36" s="22" t="s">
        <v>31</v>
      </c>
      <c r="E36" s="109" t="s">
        <v>330</v>
      </c>
      <c r="F36" s="109">
        <v>293</v>
      </c>
      <c r="G36" s="109">
        <v>258</v>
      </c>
      <c r="H36" s="23">
        <v>29.64707911333511</v>
      </c>
      <c r="I36" s="23">
        <v>1.3961983803712998</v>
      </c>
      <c r="J36" s="23" t="s">
        <v>79</v>
      </c>
      <c r="K36" s="23" t="s">
        <v>79</v>
      </c>
      <c r="L36" s="23" t="s">
        <v>79</v>
      </c>
      <c r="M36" s="23" t="s">
        <v>79</v>
      </c>
      <c r="N36" s="23" t="s">
        <v>79</v>
      </c>
      <c r="O36" s="23" t="s">
        <v>79</v>
      </c>
      <c r="P36" s="23">
        <v>14.823539556667555</v>
      </c>
      <c r="Q36" s="23">
        <v>0.69809919018564992</v>
      </c>
      <c r="R36" s="23">
        <v>10.456556725167989</v>
      </c>
      <c r="S36" s="23">
        <v>0.49382573226853083</v>
      </c>
      <c r="T36" s="23">
        <v>4.0612878506232244</v>
      </c>
      <c r="U36" s="23">
        <v>0.19047249713714615</v>
      </c>
      <c r="V36" s="109" t="s">
        <v>79</v>
      </c>
      <c r="W36" s="188" t="s">
        <v>79</v>
      </c>
      <c r="X36" s="188" t="s">
        <v>79</v>
      </c>
      <c r="Y36" s="187" t="s">
        <v>364</v>
      </c>
      <c r="Z36" s="177" t="s">
        <v>340</v>
      </c>
    </row>
    <row r="37" spans="2:26" x14ac:dyDescent="0.3">
      <c r="B37" s="176" t="s">
        <v>363</v>
      </c>
      <c r="C37" s="183" t="s">
        <v>271</v>
      </c>
      <c r="D37" s="22" t="s">
        <v>34</v>
      </c>
      <c r="E37" s="109" t="s">
        <v>330</v>
      </c>
      <c r="F37" s="109">
        <v>293</v>
      </c>
      <c r="G37" s="109">
        <v>258</v>
      </c>
      <c r="H37" s="23">
        <v>1.546783661206834</v>
      </c>
      <c r="I37" s="23">
        <v>0.10852010174931348</v>
      </c>
      <c r="J37" s="23" t="s">
        <v>79</v>
      </c>
      <c r="K37" s="23" t="s">
        <v>79</v>
      </c>
      <c r="L37" s="23" t="s">
        <v>79</v>
      </c>
      <c r="M37" s="23" t="s">
        <v>79</v>
      </c>
      <c r="N37" s="23" t="s">
        <v>79</v>
      </c>
      <c r="O37" s="23" t="s">
        <v>79</v>
      </c>
      <c r="P37" s="23">
        <v>0.77339183060341699</v>
      </c>
      <c r="Q37" s="23">
        <v>5.426005087465674E-2</v>
      </c>
      <c r="R37" s="23">
        <v>0.55025439720337488</v>
      </c>
      <c r="S37" s="23">
        <v>3.8322920322209693E-2</v>
      </c>
      <c r="T37" s="23">
        <v>0.21486126175133582</v>
      </c>
      <c r="U37" s="23">
        <v>1.4408306409442106E-2</v>
      </c>
      <c r="V37" s="109" t="s">
        <v>79</v>
      </c>
      <c r="W37" s="188" t="s">
        <v>79</v>
      </c>
      <c r="X37" s="188" t="s">
        <v>79</v>
      </c>
      <c r="Y37" s="187" t="s">
        <v>364</v>
      </c>
      <c r="Z37" s="177" t="s">
        <v>340</v>
      </c>
    </row>
    <row r="38" spans="2:26" ht="26" x14ac:dyDescent="0.3">
      <c r="B38" s="176" t="s">
        <v>365</v>
      </c>
      <c r="C38" s="183" t="s">
        <v>273</v>
      </c>
      <c r="D38" s="22" t="s">
        <v>31</v>
      </c>
      <c r="E38" s="109" t="s">
        <v>327</v>
      </c>
      <c r="F38" s="109">
        <v>250</v>
      </c>
      <c r="G38" s="109">
        <v>250</v>
      </c>
      <c r="H38" s="23">
        <v>4.5599999999999952</v>
      </c>
      <c r="I38" s="23">
        <v>0.23333333333333334</v>
      </c>
      <c r="J38" s="23" t="s">
        <v>79</v>
      </c>
      <c r="K38" s="23" t="s">
        <v>79</v>
      </c>
      <c r="L38" s="35" t="s">
        <v>79</v>
      </c>
      <c r="M38" s="35" t="s">
        <v>79</v>
      </c>
      <c r="N38" s="23">
        <v>7.9</v>
      </c>
      <c r="O38" s="23">
        <v>4.1297935103244834</v>
      </c>
      <c r="P38" s="23">
        <v>1.5199999999999985</v>
      </c>
      <c r="Q38" s="23">
        <v>7.7777777777777779E-2</v>
      </c>
      <c r="R38" s="23">
        <v>1.041095890410958</v>
      </c>
      <c r="S38" s="23">
        <v>5.3272450532724509E-2</v>
      </c>
      <c r="T38" s="23">
        <v>0.53389532841587584</v>
      </c>
      <c r="U38" s="23">
        <v>2.1172384186082818E-2</v>
      </c>
      <c r="V38" s="109">
        <v>15</v>
      </c>
      <c r="W38" s="186" t="s">
        <v>79</v>
      </c>
      <c r="X38" s="186">
        <v>5</v>
      </c>
      <c r="Y38" s="187" t="s">
        <v>366</v>
      </c>
      <c r="Z38" s="177" t="s">
        <v>10</v>
      </c>
    </row>
    <row r="39" spans="2:26" x14ac:dyDescent="0.3">
      <c r="B39" s="176" t="s">
        <v>365</v>
      </c>
      <c r="C39" s="183" t="s">
        <v>273</v>
      </c>
      <c r="D39" s="22" t="s">
        <v>34</v>
      </c>
      <c r="E39" s="109" t="s">
        <v>327</v>
      </c>
      <c r="F39" s="188">
        <v>250</v>
      </c>
      <c r="G39" s="188">
        <v>250</v>
      </c>
      <c r="H39" s="649" t="s">
        <v>367</v>
      </c>
      <c r="I39" s="650"/>
      <c r="J39" s="650"/>
      <c r="K39" s="650"/>
      <c r="L39" s="650"/>
      <c r="M39" s="650"/>
      <c r="N39" s="650"/>
      <c r="O39" s="650"/>
      <c r="P39" s="650"/>
      <c r="Q39" s="650"/>
      <c r="R39" s="650"/>
      <c r="S39" s="650"/>
      <c r="T39" s="650"/>
      <c r="U39" s="650"/>
      <c r="V39" s="650"/>
      <c r="W39" s="650"/>
      <c r="X39" s="651"/>
      <c r="Y39" s="187" t="s">
        <v>79</v>
      </c>
      <c r="Z39" s="177" t="s">
        <v>79</v>
      </c>
    </row>
    <row r="40" spans="2:26" ht="26" x14ac:dyDescent="0.3">
      <c r="B40" s="176" t="s">
        <v>368</v>
      </c>
      <c r="C40" s="183" t="s">
        <v>274</v>
      </c>
      <c r="D40" s="22" t="s">
        <v>31</v>
      </c>
      <c r="E40" s="109" t="s">
        <v>327</v>
      </c>
      <c r="F40" s="109">
        <v>250</v>
      </c>
      <c r="G40" s="109">
        <v>250</v>
      </c>
      <c r="H40" s="23">
        <v>4.5599999999999952</v>
      </c>
      <c r="I40" s="23">
        <v>0.23333333333333334</v>
      </c>
      <c r="J40" s="23" t="s">
        <v>79</v>
      </c>
      <c r="K40" s="23" t="s">
        <v>79</v>
      </c>
      <c r="L40" s="35" t="s">
        <v>79</v>
      </c>
      <c r="M40" s="35" t="s">
        <v>79</v>
      </c>
      <c r="N40" s="23">
        <v>7.9</v>
      </c>
      <c r="O40" s="23">
        <v>4.1297935103244834</v>
      </c>
      <c r="P40" s="23">
        <v>1.5199999999999985</v>
      </c>
      <c r="Q40" s="23">
        <v>7.7777777777777779E-2</v>
      </c>
      <c r="R40" s="23">
        <v>1.041095890410958</v>
      </c>
      <c r="S40" s="23">
        <v>5.3272450532724509E-2</v>
      </c>
      <c r="T40" s="23">
        <v>0.53389532841587584</v>
      </c>
      <c r="U40" s="23">
        <v>2.1172384186082818E-2</v>
      </c>
      <c r="V40" s="109">
        <v>15</v>
      </c>
      <c r="W40" s="186" t="s">
        <v>79</v>
      </c>
      <c r="X40" s="186">
        <v>5</v>
      </c>
      <c r="Y40" s="187" t="s">
        <v>366</v>
      </c>
      <c r="Z40" s="177" t="s">
        <v>10</v>
      </c>
    </row>
    <row r="41" spans="2:26" x14ac:dyDescent="0.3">
      <c r="B41" s="176" t="s">
        <v>368</v>
      </c>
      <c r="C41" s="183" t="s">
        <v>274</v>
      </c>
      <c r="D41" s="22" t="s">
        <v>34</v>
      </c>
      <c r="E41" s="109" t="s">
        <v>327</v>
      </c>
      <c r="F41" s="188">
        <v>250</v>
      </c>
      <c r="G41" s="188">
        <v>250</v>
      </c>
      <c r="H41" s="649" t="s">
        <v>367</v>
      </c>
      <c r="I41" s="650"/>
      <c r="J41" s="650"/>
      <c r="K41" s="650"/>
      <c r="L41" s="650"/>
      <c r="M41" s="650"/>
      <c r="N41" s="650"/>
      <c r="O41" s="650"/>
      <c r="P41" s="650"/>
      <c r="Q41" s="650"/>
      <c r="R41" s="650"/>
      <c r="S41" s="650"/>
      <c r="T41" s="650"/>
      <c r="U41" s="650"/>
      <c r="V41" s="650"/>
      <c r="W41" s="650"/>
      <c r="X41" s="651"/>
      <c r="Y41" s="187" t="s">
        <v>79</v>
      </c>
      <c r="Z41" s="177" t="s">
        <v>79</v>
      </c>
    </row>
    <row r="42" spans="2:26" x14ac:dyDescent="0.3">
      <c r="B42" s="176" t="s">
        <v>369</v>
      </c>
      <c r="C42" s="183" t="s">
        <v>275</v>
      </c>
      <c r="D42" s="22" t="s">
        <v>31</v>
      </c>
      <c r="E42" s="109" t="s">
        <v>327</v>
      </c>
      <c r="F42" s="109">
        <v>250</v>
      </c>
      <c r="G42" s="109">
        <v>250</v>
      </c>
      <c r="H42" s="23">
        <v>0.8112094395280236</v>
      </c>
      <c r="I42" s="23">
        <v>8.8495575221238937E-2</v>
      </c>
      <c r="J42" s="23" t="s">
        <v>79</v>
      </c>
      <c r="K42" s="23" t="s">
        <v>79</v>
      </c>
      <c r="L42" s="23" t="s">
        <v>79</v>
      </c>
      <c r="M42" s="23" t="s">
        <v>79</v>
      </c>
      <c r="N42" s="23" t="s">
        <v>79</v>
      </c>
      <c r="O42" s="23" t="s">
        <v>79</v>
      </c>
      <c r="P42" s="23">
        <v>0.27040314650934122</v>
      </c>
      <c r="Q42" s="23">
        <v>2.9498525073746312E-2</v>
      </c>
      <c r="R42" s="23">
        <v>0.18520763459543918</v>
      </c>
      <c r="S42" s="23">
        <v>2.0204469228593362E-2</v>
      </c>
      <c r="T42" s="23">
        <v>9.497827415150728E-2</v>
      </c>
      <c r="U42" s="23">
        <v>8.0299813600819784E-3</v>
      </c>
      <c r="V42" s="109">
        <v>13</v>
      </c>
      <c r="W42" s="109" t="s">
        <v>79</v>
      </c>
      <c r="X42" s="188" t="s">
        <v>79</v>
      </c>
      <c r="Y42" s="187" t="s">
        <v>370</v>
      </c>
      <c r="Z42" s="177" t="s">
        <v>10</v>
      </c>
    </row>
    <row r="43" spans="2:26" x14ac:dyDescent="0.3">
      <c r="B43" s="176" t="s">
        <v>369</v>
      </c>
      <c r="C43" s="183" t="s">
        <v>275</v>
      </c>
      <c r="D43" s="22" t="s">
        <v>34</v>
      </c>
      <c r="E43" s="109" t="s">
        <v>327</v>
      </c>
      <c r="F43" s="188">
        <v>250</v>
      </c>
      <c r="G43" s="188">
        <v>250</v>
      </c>
      <c r="H43" s="649" t="s">
        <v>367</v>
      </c>
      <c r="I43" s="650"/>
      <c r="J43" s="650"/>
      <c r="K43" s="650"/>
      <c r="L43" s="650"/>
      <c r="M43" s="650"/>
      <c r="N43" s="650"/>
      <c r="O43" s="650"/>
      <c r="P43" s="650"/>
      <c r="Q43" s="650"/>
      <c r="R43" s="650"/>
      <c r="S43" s="650"/>
      <c r="T43" s="650"/>
      <c r="U43" s="650"/>
      <c r="V43" s="650"/>
      <c r="W43" s="650"/>
      <c r="X43" s="651"/>
      <c r="Y43" s="187" t="s">
        <v>79</v>
      </c>
      <c r="Z43" s="177" t="s">
        <v>79</v>
      </c>
    </row>
    <row r="44" spans="2:26" x14ac:dyDescent="0.3">
      <c r="B44" s="176" t="s">
        <v>371</v>
      </c>
      <c r="C44" s="183" t="s">
        <v>276</v>
      </c>
      <c r="D44" s="22" t="s">
        <v>31</v>
      </c>
      <c r="E44" s="109" t="s">
        <v>327</v>
      </c>
      <c r="F44" s="109">
        <v>250</v>
      </c>
      <c r="G44" s="109">
        <v>250</v>
      </c>
      <c r="H44" s="23">
        <v>0.8112094395280236</v>
      </c>
      <c r="I44" s="23">
        <v>8.8495575221238937E-2</v>
      </c>
      <c r="J44" s="23" t="s">
        <v>79</v>
      </c>
      <c r="K44" s="23" t="s">
        <v>79</v>
      </c>
      <c r="L44" s="23" t="s">
        <v>79</v>
      </c>
      <c r="M44" s="23" t="s">
        <v>79</v>
      </c>
      <c r="N44" s="23" t="s">
        <v>79</v>
      </c>
      <c r="O44" s="23" t="s">
        <v>79</v>
      </c>
      <c r="P44" s="23">
        <v>0.27040314650934122</v>
      </c>
      <c r="Q44" s="23">
        <v>2.9498525073746312E-2</v>
      </c>
      <c r="R44" s="23">
        <v>0.18520763459543918</v>
      </c>
      <c r="S44" s="23">
        <v>2.0204469228593362E-2</v>
      </c>
      <c r="T44" s="23">
        <v>9.497827415150728E-2</v>
      </c>
      <c r="U44" s="23">
        <v>8.0299813600819784E-3</v>
      </c>
      <c r="V44" s="109">
        <v>13</v>
      </c>
      <c r="W44" s="109" t="s">
        <v>79</v>
      </c>
      <c r="X44" s="188" t="s">
        <v>79</v>
      </c>
      <c r="Y44" s="187" t="s">
        <v>370</v>
      </c>
      <c r="Z44" s="177" t="s">
        <v>10</v>
      </c>
    </row>
    <row r="45" spans="2:26" x14ac:dyDescent="0.3">
      <c r="B45" s="176" t="s">
        <v>371</v>
      </c>
      <c r="C45" s="183" t="s">
        <v>276</v>
      </c>
      <c r="D45" s="22" t="s">
        <v>34</v>
      </c>
      <c r="E45" s="109" t="s">
        <v>327</v>
      </c>
      <c r="F45" s="188">
        <v>250</v>
      </c>
      <c r="G45" s="188">
        <v>250</v>
      </c>
      <c r="H45" s="649" t="s">
        <v>367</v>
      </c>
      <c r="I45" s="650"/>
      <c r="J45" s="650"/>
      <c r="K45" s="650"/>
      <c r="L45" s="650"/>
      <c r="M45" s="650"/>
      <c r="N45" s="650"/>
      <c r="O45" s="650"/>
      <c r="P45" s="650"/>
      <c r="Q45" s="650"/>
      <c r="R45" s="650"/>
      <c r="S45" s="650"/>
      <c r="T45" s="650"/>
      <c r="U45" s="650"/>
      <c r="V45" s="650"/>
      <c r="W45" s="650"/>
      <c r="X45" s="651"/>
      <c r="Y45" s="187" t="s">
        <v>79</v>
      </c>
      <c r="Z45" s="177" t="s">
        <v>79</v>
      </c>
    </row>
    <row r="46" spans="2:26" x14ac:dyDescent="0.3">
      <c r="B46" s="176">
        <v>10</v>
      </c>
      <c r="C46" s="183" t="s">
        <v>277</v>
      </c>
      <c r="D46" s="22" t="s">
        <v>31</v>
      </c>
      <c r="E46" s="109" t="s">
        <v>327</v>
      </c>
      <c r="F46" s="109">
        <v>250</v>
      </c>
      <c r="G46" s="109">
        <v>250</v>
      </c>
      <c r="H46" s="23">
        <v>56.747536749999966</v>
      </c>
      <c r="I46" s="23">
        <v>2.2394872916666668</v>
      </c>
      <c r="J46" s="23">
        <v>2.4397738446411013</v>
      </c>
      <c r="K46" s="23">
        <v>2.2200712881022615</v>
      </c>
      <c r="L46" s="35">
        <v>240</v>
      </c>
      <c r="M46" s="35">
        <v>240</v>
      </c>
      <c r="N46" s="23">
        <v>27.843657817109147</v>
      </c>
      <c r="O46" s="23">
        <v>0.61482300884955743</v>
      </c>
      <c r="P46" s="23">
        <v>18.915845583333322</v>
      </c>
      <c r="Q46" s="23">
        <v>0.74649576388888894</v>
      </c>
      <c r="R46" s="23">
        <v>12.956058618721451</v>
      </c>
      <c r="S46" s="23">
        <v>0.51129846841704718</v>
      </c>
      <c r="T46" s="23">
        <v>6.6441326249853603</v>
      </c>
      <c r="U46" s="23">
        <v>0.20320836565292902</v>
      </c>
      <c r="V46" s="109">
        <v>43</v>
      </c>
      <c r="W46" s="186">
        <v>6</v>
      </c>
      <c r="X46" s="186">
        <v>20</v>
      </c>
      <c r="Y46" s="187" t="s">
        <v>372</v>
      </c>
      <c r="Z46" s="177" t="s">
        <v>10</v>
      </c>
    </row>
    <row r="47" spans="2:26" x14ac:dyDescent="0.3">
      <c r="B47" s="176">
        <v>10</v>
      </c>
      <c r="C47" s="183" t="s">
        <v>277</v>
      </c>
      <c r="D47" s="22" t="s">
        <v>34</v>
      </c>
      <c r="E47" s="109" t="s">
        <v>327</v>
      </c>
      <c r="F47" s="188">
        <v>250</v>
      </c>
      <c r="G47" s="188">
        <v>250</v>
      </c>
      <c r="H47" s="23">
        <v>2.177052605703047</v>
      </c>
      <c r="I47" s="23">
        <v>1.044739429695182</v>
      </c>
      <c r="J47" s="23" t="s">
        <v>79</v>
      </c>
      <c r="K47" s="23" t="s">
        <v>79</v>
      </c>
      <c r="L47" s="35" t="s">
        <v>79</v>
      </c>
      <c r="M47" s="35" t="s">
        <v>79</v>
      </c>
      <c r="N47" s="23" t="s">
        <v>79</v>
      </c>
      <c r="O47" s="23" t="s">
        <v>79</v>
      </c>
      <c r="P47" s="23">
        <v>0.72568420190101568</v>
      </c>
      <c r="Q47" s="23">
        <v>0.34824647656506064</v>
      </c>
      <c r="R47" s="23">
        <v>0.49704397390480526</v>
      </c>
      <c r="S47" s="23">
        <v>0.23852498394867169</v>
      </c>
      <c r="T47" s="23">
        <v>0.2548943455922078</v>
      </c>
      <c r="U47" s="23">
        <v>9.4798391056523365E-2</v>
      </c>
      <c r="V47" s="109">
        <v>17</v>
      </c>
      <c r="W47" s="186">
        <v>0</v>
      </c>
      <c r="X47" s="186">
        <v>0</v>
      </c>
      <c r="Y47" s="187" t="s">
        <v>372</v>
      </c>
      <c r="Z47" s="177" t="s">
        <v>10</v>
      </c>
    </row>
    <row r="48" spans="2:26" ht="26" x14ac:dyDescent="0.3">
      <c r="B48" s="176">
        <v>14</v>
      </c>
      <c r="C48" s="183" t="s">
        <v>278</v>
      </c>
      <c r="D48" s="22" t="s">
        <v>31</v>
      </c>
      <c r="E48" s="109" t="s">
        <v>327</v>
      </c>
      <c r="F48" s="109">
        <v>250</v>
      </c>
      <c r="G48" s="109">
        <v>250</v>
      </c>
      <c r="H48" s="23">
        <v>1.1799999999999984</v>
      </c>
      <c r="I48" s="23">
        <v>0.06</v>
      </c>
      <c r="J48" s="23">
        <v>2.2000000000000002</v>
      </c>
      <c r="K48" s="23">
        <v>1.7000000000000002</v>
      </c>
      <c r="L48" s="35">
        <v>30</v>
      </c>
      <c r="M48" s="35">
        <v>30</v>
      </c>
      <c r="N48" s="23" t="s">
        <v>79</v>
      </c>
      <c r="O48" s="23" t="s">
        <v>79</v>
      </c>
      <c r="P48" s="23">
        <v>0.39333333333333281</v>
      </c>
      <c r="Q48" s="23">
        <v>0.02</v>
      </c>
      <c r="R48" s="23">
        <v>0.26940639269406358</v>
      </c>
      <c r="S48" s="23">
        <v>1.3698630136986301E-2</v>
      </c>
      <c r="T48" s="23">
        <v>0.13815712445849412</v>
      </c>
      <c r="U48" s="23">
        <v>5.4443273621355816E-3</v>
      </c>
      <c r="V48" s="109">
        <v>89</v>
      </c>
      <c r="W48" s="109">
        <v>2</v>
      </c>
      <c r="X48" s="188" t="s">
        <v>79</v>
      </c>
      <c r="Y48" s="187" t="s">
        <v>373</v>
      </c>
      <c r="Z48" s="177" t="s">
        <v>10</v>
      </c>
    </row>
    <row r="49" spans="2:26" x14ac:dyDescent="0.3">
      <c r="B49" s="176" t="s">
        <v>374</v>
      </c>
      <c r="C49" s="183" t="s">
        <v>279</v>
      </c>
      <c r="D49" s="22" t="s">
        <v>31</v>
      </c>
      <c r="E49" s="109" t="s">
        <v>327</v>
      </c>
      <c r="F49" s="109">
        <v>250</v>
      </c>
      <c r="G49" s="109">
        <v>250</v>
      </c>
      <c r="H49" s="23">
        <v>4.3960581249999997</v>
      </c>
      <c r="I49" s="23">
        <v>3.7186302083333329</v>
      </c>
      <c r="J49" s="23" t="s">
        <v>79</v>
      </c>
      <c r="K49" s="23" t="s">
        <v>79</v>
      </c>
      <c r="L49" s="35" t="s">
        <v>79</v>
      </c>
      <c r="M49" s="35" t="s">
        <v>79</v>
      </c>
      <c r="N49" s="23" t="s">
        <v>79</v>
      </c>
      <c r="O49" s="23" t="s">
        <v>79</v>
      </c>
      <c r="P49" s="23">
        <v>1.4653527083333333</v>
      </c>
      <c r="Q49" s="23">
        <v>1.2395434027777776</v>
      </c>
      <c r="R49" s="23">
        <v>1.0036662385844748</v>
      </c>
      <c r="S49" s="23">
        <v>0.84900233066971076</v>
      </c>
      <c r="T49" s="23">
        <v>0.51470063517152553</v>
      </c>
      <c r="U49" s="23">
        <v>0.33742400321488503</v>
      </c>
      <c r="V49" s="109">
        <v>2</v>
      </c>
      <c r="W49" s="109" t="s">
        <v>79</v>
      </c>
      <c r="X49" s="188" t="s">
        <v>79</v>
      </c>
      <c r="Y49" s="187" t="s">
        <v>375</v>
      </c>
      <c r="Z49" s="177" t="s">
        <v>10</v>
      </c>
    </row>
    <row r="50" spans="2:26" x14ac:dyDescent="0.3">
      <c r="B50" s="176" t="s">
        <v>376</v>
      </c>
      <c r="C50" s="183" t="s">
        <v>280</v>
      </c>
      <c r="D50" s="22" t="s">
        <v>31</v>
      </c>
      <c r="E50" s="109" t="s">
        <v>327</v>
      </c>
      <c r="F50" s="109">
        <v>250</v>
      </c>
      <c r="G50" s="109">
        <v>250</v>
      </c>
      <c r="H50" s="23">
        <v>18.175654135416664</v>
      </c>
      <c r="I50" s="23">
        <v>1.2469052667158309</v>
      </c>
      <c r="J50" s="23" t="s">
        <v>79</v>
      </c>
      <c r="K50" s="23" t="s">
        <v>79</v>
      </c>
      <c r="L50" s="35" t="s">
        <v>79</v>
      </c>
      <c r="M50" s="35" t="s">
        <v>79</v>
      </c>
      <c r="N50" s="23" t="s">
        <v>79</v>
      </c>
      <c r="O50" s="23" t="s">
        <v>79</v>
      </c>
      <c r="P50" s="23">
        <v>6.0585513784722211</v>
      </c>
      <c r="Q50" s="23">
        <v>0.41563508890527695</v>
      </c>
      <c r="R50" s="23">
        <v>4.1496927249809739</v>
      </c>
      <c r="S50" s="23">
        <v>0.28468156774334041</v>
      </c>
      <c r="T50" s="23">
        <v>2.1280475512722945</v>
      </c>
      <c r="U50" s="23">
        <v>0.11314267435953272</v>
      </c>
      <c r="V50" s="109">
        <v>38</v>
      </c>
      <c r="W50" s="109" t="s">
        <v>79</v>
      </c>
      <c r="X50" s="188" t="s">
        <v>79</v>
      </c>
      <c r="Y50" s="187" t="s">
        <v>375</v>
      </c>
      <c r="Z50" s="177" t="s">
        <v>10</v>
      </c>
    </row>
    <row r="51" spans="2:26" x14ac:dyDescent="0.3">
      <c r="B51" s="176" t="s">
        <v>377</v>
      </c>
      <c r="C51" s="183" t="s">
        <v>281</v>
      </c>
      <c r="D51" s="22" t="s">
        <v>31</v>
      </c>
      <c r="E51" s="109" t="s">
        <v>327</v>
      </c>
      <c r="F51" s="109">
        <v>250</v>
      </c>
      <c r="G51" s="109">
        <v>250</v>
      </c>
      <c r="H51" s="23">
        <v>44.424944541666605</v>
      </c>
      <c r="I51" s="23">
        <v>7.38081723549488</v>
      </c>
      <c r="J51" s="23" t="s">
        <v>79</v>
      </c>
      <c r="K51" s="23" t="s">
        <v>79</v>
      </c>
      <c r="L51" s="35" t="s">
        <v>79</v>
      </c>
      <c r="M51" s="35" t="s">
        <v>79</v>
      </c>
      <c r="N51" s="23" t="s">
        <v>79</v>
      </c>
      <c r="O51" s="23" t="s">
        <v>79</v>
      </c>
      <c r="P51" s="23">
        <v>14.808314847222201</v>
      </c>
      <c r="Q51" s="23">
        <v>2.4602724118316268</v>
      </c>
      <c r="R51" s="23">
        <v>10.142681402206987</v>
      </c>
      <c r="S51" s="23">
        <v>1.6851180902956349</v>
      </c>
      <c r="T51" s="23">
        <v>5.2013750780548653</v>
      </c>
      <c r="U51" s="23">
        <v>0.66972642050211129</v>
      </c>
      <c r="V51" s="109">
        <v>13</v>
      </c>
      <c r="W51" s="109" t="s">
        <v>79</v>
      </c>
      <c r="X51" s="188" t="s">
        <v>79</v>
      </c>
      <c r="Y51" s="187" t="s">
        <v>375</v>
      </c>
      <c r="Z51" s="177" t="s">
        <v>10</v>
      </c>
    </row>
    <row r="52" spans="2:26" x14ac:dyDescent="0.3">
      <c r="B52" s="176" t="s">
        <v>378</v>
      </c>
      <c r="C52" s="183" t="s">
        <v>282</v>
      </c>
      <c r="D52" s="22" t="s">
        <v>31</v>
      </c>
      <c r="E52" s="109" t="s">
        <v>327</v>
      </c>
      <c r="F52" s="109">
        <v>250</v>
      </c>
      <c r="G52" s="109">
        <v>250</v>
      </c>
      <c r="H52" s="23">
        <v>239.89600983333332</v>
      </c>
      <c r="I52" s="23">
        <v>14.735752770000001</v>
      </c>
      <c r="J52" s="23" t="s">
        <v>79</v>
      </c>
      <c r="K52" s="23" t="s">
        <v>79</v>
      </c>
      <c r="L52" s="35" t="s">
        <v>79</v>
      </c>
      <c r="M52" s="35" t="s">
        <v>79</v>
      </c>
      <c r="N52" s="23" t="s">
        <v>79</v>
      </c>
      <c r="O52" s="23" t="s">
        <v>79</v>
      </c>
      <c r="P52" s="23">
        <v>79.965336611111113</v>
      </c>
      <c r="Q52" s="23">
        <v>4.9119175900000007</v>
      </c>
      <c r="R52" s="23">
        <v>54.770778500761033</v>
      </c>
      <c r="S52" s="23">
        <v>3.3643271164383561</v>
      </c>
      <c r="T52" s="23">
        <v>28.087578718338989</v>
      </c>
      <c r="U52" s="23">
        <v>1.3371043667896032</v>
      </c>
      <c r="V52" s="109">
        <v>4</v>
      </c>
      <c r="W52" s="109" t="s">
        <v>79</v>
      </c>
      <c r="X52" s="188" t="s">
        <v>79</v>
      </c>
      <c r="Y52" s="187" t="s">
        <v>375</v>
      </c>
      <c r="Z52" s="177" t="s">
        <v>10</v>
      </c>
    </row>
    <row r="53" spans="2:26" ht="26" x14ac:dyDescent="0.3">
      <c r="B53" s="176">
        <v>16</v>
      </c>
      <c r="C53" s="183" t="s">
        <v>283</v>
      </c>
      <c r="D53" s="22" t="s">
        <v>31</v>
      </c>
      <c r="E53" s="109" t="s">
        <v>327</v>
      </c>
      <c r="F53" s="109">
        <v>250</v>
      </c>
      <c r="G53" s="109">
        <v>250</v>
      </c>
      <c r="H53" s="23">
        <v>2.0943952802359878E-2</v>
      </c>
      <c r="I53" s="23">
        <v>5.7522123893805318E-3</v>
      </c>
      <c r="J53" s="23" t="s">
        <v>79</v>
      </c>
      <c r="K53" s="23" t="s">
        <v>79</v>
      </c>
      <c r="L53" s="23" t="s">
        <v>79</v>
      </c>
      <c r="M53" s="23" t="s">
        <v>79</v>
      </c>
      <c r="N53" s="23" t="s">
        <v>79</v>
      </c>
      <c r="O53" s="23" t="s">
        <v>79</v>
      </c>
      <c r="P53" s="23">
        <v>6.9813176007866261E-3</v>
      </c>
      <c r="Q53" s="184">
        <v>1.9174041297935105E-3</v>
      </c>
      <c r="R53" s="184">
        <v>4.7817243841004288E-3</v>
      </c>
      <c r="S53" s="184">
        <v>1.3132904998585688E-3</v>
      </c>
      <c r="T53" s="184">
        <v>2.4521663508207327E-3</v>
      </c>
      <c r="U53" s="184">
        <v>5.219487884053286E-4</v>
      </c>
      <c r="V53" s="109" t="s">
        <v>79</v>
      </c>
      <c r="W53" s="109" t="s">
        <v>79</v>
      </c>
      <c r="X53" s="188" t="s">
        <v>79</v>
      </c>
      <c r="Y53" s="187" t="s">
        <v>379</v>
      </c>
      <c r="Z53" s="177" t="s">
        <v>340</v>
      </c>
    </row>
    <row r="54" spans="2:26" ht="26" x14ac:dyDescent="0.3">
      <c r="B54" s="176">
        <v>17</v>
      </c>
      <c r="C54" s="183" t="s">
        <v>284</v>
      </c>
      <c r="D54" s="22" t="s">
        <v>31</v>
      </c>
      <c r="E54" s="109" t="s">
        <v>327</v>
      </c>
      <c r="F54" s="109">
        <v>250</v>
      </c>
      <c r="G54" s="109">
        <v>250</v>
      </c>
      <c r="H54" s="35">
        <v>228.02359882005899</v>
      </c>
      <c r="I54" s="35">
        <v>132.15339233038347</v>
      </c>
      <c r="J54" s="23">
        <v>9.4499999999999993</v>
      </c>
      <c r="K54" s="23">
        <v>9.4499999999999993</v>
      </c>
      <c r="L54" s="35">
        <v>240</v>
      </c>
      <c r="M54" s="35">
        <v>240</v>
      </c>
      <c r="N54" s="35">
        <v>103.1</v>
      </c>
      <c r="O54" s="23">
        <v>66.25</v>
      </c>
      <c r="P54" s="23">
        <v>76.007866273353002</v>
      </c>
      <c r="Q54" s="23">
        <v>44.051130776794487</v>
      </c>
      <c r="R54" s="23">
        <v>52.060182379008907</v>
      </c>
      <c r="S54" s="23">
        <v>30.17200738136609</v>
      </c>
      <c r="T54" s="23">
        <v>26.697529425132771</v>
      </c>
      <c r="U54" s="23">
        <v>11.991438831055754</v>
      </c>
      <c r="V54" s="109">
        <v>4</v>
      </c>
      <c r="W54" s="186">
        <v>1</v>
      </c>
      <c r="X54" s="186">
        <v>4</v>
      </c>
      <c r="Y54" s="187" t="s">
        <v>380</v>
      </c>
      <c r="Z54" s="177" t="s">
        <v>10</v>
      </c>
    </row>
    <row r="55" spans="2:26" x14ac:dyDescent="0.3">
      <c r="B55" s="176">
        <v>17</v>
      </c>
      <c r="C55" s="183" t="s">
        <v>284</v>
      </c>
      <c r="D55" s="22" t="s">
        <v>34</v>
      </c>
      <c r="E55" s="109" t="s">
        <v>327</v>
      </c>
      <c r="F55" s="109">
        <v>250</v>
      </c>
      <c r="G55" s="109">
        <v>250</v>
      </c>
      <c r="H55" s="23">
        <v>23.193215339233038</v>
      </c>
      <c r="I55" s="23">
        <v>2.1830665341842383E-2</v>
      </c>
      <c r="J55" s="23" t="s">
        <v>79</v>
      </c>
      <c r="K55" s="23" t="s">
        <v>79</v>
      </c>
      <c r="L55" s="35" t="s">
        <v>79</v>
      </c>
      <c r="M55" s="35" t="s">
        <v>79</v>
      </c>
      <c r="N55" s="23" t="s">
        <v>79</v>
      </c>
      <c r="O55" s="23" t="s">
        <v>79</v>
      </c>
      <c r="P55" s="23">
        <v>7.7310717797443465</v>
      </c>
      <c r="Q55" s="23">
        <v>7.2768884472807945E-3</v>
      </c>
      <c r="R55" s="23">
        <v>5.2952546436605115</v>
      </c>
      <c r="S55" s="184">
        <v>4.984170169370407E-3</v>
      </c>
      <c r="T55" s="23">
        <v>2.7155152018771851</v>
      </c>
      <c r="U55" s="184">
        <v>1.9808881442369567E-3</v>
      </c>
      <c r="V55" s="109">
        <v>6</v>
      </c>
      <c r="W55" s="186" t="s">
        <v>79</v>
      </c>
      <c r="X55" s="186" t="s">
        <v>79</v>
      </c>
      <c r="Y55" s="187" t="s">
        <v>381</v>
      </c>
      <c r="Z55" s="177" t="s">
        <v>10</v>
      </c>
    </row>
    <row r="56" spans="2:26" ht="26" x14ac:dyDescent="0.3">
      <c r="B56" s="176">
        <v>18</v>
      </c>
      <c r="C56" s="56" t="s">
        <v>285</v>
      </c>
      <c r="D56" s="22" t="s">
        <v>31</v>
      </c>
      <c r="E56" s="109" t="s">
        <v>327</v>
      </c>
      <c r="F56" s="109">
        <v>250</v>
      </c>
      <c r="G56" s="109">
        <v>250</v>
      </c>
      <c r="H56" s="23">
        <v>3.3525056145833338</v>
      </c>
      <c r="I56" s="23">
        <v>1.5154029302083332</v>
      </c>
      <c r="J56" s="23" t="s">
        <v>79</v>
      </c>
      <c r="K56" s="23" t="s">
        <v>79</v>
      </c>
      <c r="L56" s="23" t="s">
        <v>79</v>
      </c>
      <c r="M56" s="23" t="s">
        <v>79</v>
      </c>
      <c r="N56" s="23" t="s">
        <v>79</v>
      </c>
      <c r="O56" s="23" t="s">
        <v>79</v>
      </c>
      <c r="P56" s="23">
        <v>1.117501871527778</v>
      </c>
      <c r="Q56" s="23">
        <v>0.50513431006944443</v>
      </c>
      <c r="R56" s="23">
        <v>0.76541224077245062</v>
      </c>
      <c r="S56" s="23">
        <v>0.34598240415715364</v>
      </c>
      <c r="T56" s="23">
        <v>0.39251909783202599</v>
      </c>
      <c r="U56" s="23">
        <v>0.13750582729322774</v>
      </c>
      <c r="V56" s="109">
        <v>4</v>
      </c>
      <c r="W56" s="109" t="s">
        <v>79</v>
      </c>
      <c r="X56" s="188" t="s">
        <v>79</v>
      </c>
      <c r="Y56" s="187" t="s">
        <v>382</v>
      </c>
      <c r="Z56" s="177" t="s">
        <v>10</v>
      </c>
    </row>
    <row r="57" spans="2:26" x14ac:dyDescent="0.3">
      <c r="B57" s="176">
        <v>18</v>
      </c>
      <c r="C57" s="56" t="s">
        <v>285</v>
      </c>
      <c r="D57" s="22" t="s">
        <v>34</v>
      </c>
      <c r="E57" s="109" t="s">
        <v>327</v>
      </c>
      <c r="F57" s="109">
        <v>250</v>
      </c>
      <c r="G57" s="109">
        <v>250</v>
      </c>
      <c r="H57" s="23">
        <v>0.03</v>
      </c>
      <c r="I57" s="23">
        <v>0.03</v>
      </c>
      <c r="J57" s="23" t="s">
        <v>79</v>
      </c>
      <c r="K57" s="23" t="s">
        <v>79</v>
      </c>
      <c r="L57" s="23" t="s">
        <v>79</v>
      </c>
      <c r="M57" s="23" t="s">
        <v>79</v>
      </c>
      <c r="N57" s="23" t="s">
        <v>79</v>
      </c>
      <c r="O57" s="23" t="s">
        <v>79</v>
      </c>
      <c r="P57" s="500">
        <v>0.01</v>
      </c>
      <c r="Q57" s="500">
        <v>0.01</v>
      </c>
      <c r="R57" s="23">
        <v>6.8493150684931503E-3</v>
      </c>
      <c r="S57" s="23">
        <v>6.8493150684931503E-3</v>
      </c>
      <c r="T57" s="184">
        <v>3.5124692658939235E-3</v>
      </c>
      <c r="U57" s="184">
        <v>2.7221636810677908E-3</v>
      </c>
      <c r="V57" s="109">
        <v>1</v>
      </c>
      <c r="W57" s="109" t="s">
        <v>79</v>
      </c>
      <c r="X57" s="188" t="s">
        <v>79</v>
      </c>
      <c r="Y57" s="187" t="s">
        <v>383</v>
      </c>
      <c r="Z57" s="177" t="s">
        <v>10</v>
      </c>
    </row>
    <row r="58" spans="2:26" x14ac:dyDescent="0.3">
      <c r="B58" s="176" t="s">
        <v>384</v>
      </c>
      <c r="C58" s="183" t="s">
        <v>286</v>
      </c>
      <c r="D58" s="22" t="s">
        <v>31</v>
      </c>
      <c r="E58" s="109" t="s">
        <v>327</v>
      </c>
      <c r="F58" s="109">
        <v>250</v>
      </c>
      <c r="G58" s="109">
        <v>250</v>
      </c>
      <c r="H58" s="23">
        <v>13.455104166666667</v>
      </c>
      <c r="I58" s="23">
        <v>1.6435008333333332</v>
      </c>
      <c r="J58" s="23" t="s">
        <v>79</v>
      </c>
      <c r="K58" s="23" t="s">
        <v>79</v>
      </c>
      <c r="L58" s="23" t="s">
        <v>79</v>
      </c>
      <c r="M58" s="23" t="s">
        <v>79</v>
      </c>
      <c r="N58" s="23">
        <v>0.2</v>
      </c>
      <c r="O58" s="23">
        <v>0.2</v>
      </c>
      <c r="P58" s="23">
        <v>4.4850347222222222</v>
      </c>
      <c r="Q58" s="23">
        <v>0.54783361111111106</v>
      </c>
      <c r="R58" s="23">
        <v>3.0719415905631657</v>
      </c>
      <c r="S58" s="23">
        <v>0.37522850076103503</v>
      </c>
      <c r="T58" s="23">
        <v>1.5753546618272645</v>
      </c>
      <c r="U58" s="23">
        <v>0.14912927594348827</v>
      </c>
      <c r="V58" s="109">
        <v>44</v>
      </c>
      <c r="W58" s="186" t="s">
        <v>79</v>
      </c>
      <c r="X58" s="186">
        <v>1</v>
      </c>
      <c r="Y58" s="187" t="s">
        <v>345</v>
      </c>
      <c r="Z58" s="177" t="s">
        <v>10</v>
      </c>
    </row>
    <row r="59" spans="2:26" ht="26" x14ac:dyDescent="0.3">
      <c r="B59" s="176" t="s">
        <v>385</v>
      </c>
      <c r="C59" s="183" t="s">
        <v>287</v>
      </c>
      <c r="D59" s="22" t="s">
        <v>31</v>
      </c>
      <c r="E59" s="109" t="s">
        <v>327</v>
      </c>
      <c r="F59" s="109">
        <v>250</v>
      </c>
      <c r="G59" s="109">
        <v>250</v>
      </c>
      <c r="H59" s="184">
        <v>5.0000000000000001E-4</v>
      </c>
      <c r="I59" s="184">
        <v>1.8750000000000003E-4</v>
      </c>
      <c r="J59" s="23" t="s">
        <v>79</v>
      </c>
      <c r="K59" s="23" t="s">
        <v>79</v>
      </c>
      <c r="L59" s="23" t="s">
        <v>79</v>
      </c>
      <c r="M59" s="23" t="s">
        <v>79</v>
      </c>
      <c r="N59" s="23" t="s">
        <v>79</v>
      </c>
      <c r="O59" s="23" t="s">
        <v>79</v>
      </c>
      <c r="P59" s="184">
        <v>1.6666666666666666E-4</v>
      </c>
      <c r="Q59" s="184">
        <v>6.2500000000000015E-5</v>
      </c>
      <c r="R59" s="184">
        <v>1.1415525114155251E-4</v>
      </c>
      <c r="S59" s="184">
        <v>4.2808219178082199E-5</v>
      </c>
      <c r="T59" s="184">
        <v>5.8541154431565389E-5</v>
      </c>
      <c r="U59" s="184">
        <v>1.7013523006673693E-5</v>
      </c>
      <c r="V59" s="109">
        <v>3</v>
      </c>
      <c r="W59" s="109" t="s">
        <v>79</v>
      </c>
      <c r="X59" s="188" t="s">
        <v>79</v>
      </c>
      <c r="Y59" s="187" t="s">
        <v>386</v>
      </c>
      <c r="Z59" s="177" t="s">
        <v>10</v>
      </c>
    </row>
    <row r="60" spans="2:26" x14ac:dyDescent="0.3">
      <c r="B60" s="176" t="s">
        <v>387</v>
      </c>
      <c r="C60" s="183" t="s">
        <v>288</v>
      </c>
      <c r="D60" s="22" t="s">
        <v>31</v>
      </c>
      <c r="E60" s="109" t="s">
        <v>327</v>
      </c>
      <c r="F60" s="109">
        <v>250</v>
      </c>
      <c r="G60" s="109">
        <v>250</v>
      </c>
      <c r="H60" s="23">
        <v>56.37049993854469</v>
      </c>
      <c r="I60" s="23">
        <v>6.2932952310717791</v>
      </c>
      <c r="J60" s="23" t="s">
        <v>79</v>
      </c>
      <c r="K60" s="23" t="s">
        <v>79</v>
      </c>
      <c r="L60" s="23" t="s">
        <v>79</v>
      </c>
      <c r="M60" s="23" t="s">
        <v>79</v>
      </c>
      <c r="N60" s="35">
        <v>116.78392330383478</v>
      </c>
      <c r="O60" s="23">
        <v>12.986725663716815</v>
      </c>
      <c r="P60" s="23">
        <v>18.790166646181564</v>
      </c>
      <c r="Q60" s="23">
        <v>2.0977650770239262</v>
      </c>
      <c r="R60" s="23">
        <v>12.869977154918878</v>
      </c>
      <c r="S60" s="23">
        <v>1.4368253952218675</v>
      </c>
      <c r="T60" s="23">
        <v>6.5999882845737838</v>
      </c>
      <c r="U60" s="23">
        <v>0.57104599040869097</v>
      </c>
      <c r="V60" s="109">
        <v>62</v>
      </c>
      <c r="W60" s="186" t="s">
        <v>79</v>
      </c>
      <c r="X60" s="186">
        <v>40</v>
      </c>
      <c r="Y60" s="187" t="s">
        <v>388</v>
      </c>
      <c r="Z60" s="177" t="s">
        <v>10</v>
      </c>
    </row>
    <row r="61" spans="2:26" x14ac:dyDescent="0.3">
      <c r="B61" s="176" t="s">
        <v>389</v>
      </c>
      <c r="C61" s="183" t="s">
        <v>289</v>
      </c>
      <c r="D61" s="22" t="s">
        <v>31</v>
      </c>
      <c r="E61" s="109" t="s">
        <v>327</v>
      </c>
      <c r="F61" s="109">
        <v>250</v>
      </c>
      <c r="G61" s="109">
        <v>250</v>
      </c>
      <c r="H61" s="23">
        <v>0.11338495575221239</v>
      </c>
      <c r="I61" s="23">
        <v>5.6692477876106193E-2</v>
      </c>
      <c r="J61" s="23" t="s">
        <v>79</v>
      </c>
      <c r="K61" s="23" t="s">
        <v>79</v>
      </c>
      <c r="L61" s="23" t="s">
        <v>79</v>
      </c>
      <c r="M61" s="23" t="s">
        <v>79</v>
      </c>
      <c r="N61" s="23" t="s">
        <v>79</v>
      </c>
      <c r="O61" s="23" t="s">
        <v>79</v>
      </c>
      <c r="P61" s="23">
        <v>3.7794985250737462E-2</v>
      </c>
      <c r="Q61" s="23">
        <v>1.8897492625368731E-2</v>
      </c>
      <c r="R61" s="23">
        <v>2.5886976199135249E-2</v>
      </c>
      <c r="S61" s="23">
        <v>1.2943488099567624E-2</v>
      </c>
      <c r="T61" s="23">
        <v>1.3275372409812948E-2</v>
      </c>
      <c r="U61" s="23">
        <v>5.1442068088025173E-3</v>
      </c>
      <c r="V61" s="109">
        <v>7</v>
      </c>
      <c r="W61" s="186" t="s">
        <v>79</v>
      </c>
      <c r="X61" s="186" t="s">
        <v>79</v>
      </c>
      <c r="Y61" s="187" t="s">
        <v>390</v>
      </c>
      <c r="Z61" s="177" t="s">
        <v>10</v>
      </c>
    </row>
    <row r="62" spans="2:26" ht="39" x14ac:dyDescent="0.3">
      <c r="B62" s="178" t="s">
        <v>391</v>
      </c>
      <c r="C62" s="190" t="s">
        <v>290</v>
      </c>
      <c r="D62" s="154" t="s">
        <v>31</v>
      </c>
      <c r="E62" s="191" t="s">
        <v>327</v>
      </c>
      <c r="F62" s="191">
        <v>36</v>
      </c>
      <c r="G62" s="191">
        <v>30</v>
      </c>
      <c r="H62" s="152">
        <v>2.3125</v>
      </c>
      <c r="I62" s="152">
        <v>1.15625</v>
      </c>
      <c r="J62" s="23" t="s">
        <v>79</v>
      </c>
      <c r="K62" s="23" t="s">
        <v>79</v>
      </c>
      <c r="L62" s="23" t="s">
        <v>79</v>
      </c>
      <c r="M62" s="23" t="s">
        <v>79</v>
      </c>
      <c r="N62" s="23" t="s">
        <v>79</v>
      </c>
      <c r="O62" s="23" t="s">
        <v>79</v>
      </c>
      <c r="P62" s="152">
        <v>0.77083333333333337</v>
      </c>
      <c r="Q62" s="152">
        <v>0.38541666666666669</v>
      </c>
      <c r="R62" s="152">
        <v>7.6027397260273979E-2</v>
      </c>
      <c r="S62" s="152">
        <v>3.1678082191780824E-2</v>
      </c>
      <c r="T62" s="152">
        <v>3.8988408851422553E-2</v>
      </c>
      <c r="U62" s="152">
        <v>1.2590007024938532E-2</v>
      </c>
      <c r="V62" s="191">
        <v>1</v>
      </c>
      <c r="W62" s="192">
        <v>3</v>
      </c>
      <c r="X62" s="192">
        <v>1</v>
      </c>
      <c r="Y62" s="193" t="s">
        <v>392</v>
      </c>
      <c r="Z62" s="179" t="s">
        <v>10</v>
      </c>
    </row>
    <row r="63" spans="2:26" ht="26" x14ac:dyDescent="0.3">
      <c r="B63" s="178" t="s">
        <v>393</v>
      </c>
      <c r="C63" s="190" t="s">
        <v>291</v>
      </c>
      <c r="D63" s="154" t="s">
        <v>31</v>
      </c>
      <c r="E63" s="191" t="s">
        <v>327</v>
      </c>
      <c r="F63" s="191">
        <v>150</v>
      </c>
      <c r="G63" s="191">
        <v>125</v>
      </c>
      <c r="H63" s="152">
        <v>0.8810226155358899</v>
      </c>
      <c r="I63" s="152">
        <v>0.8810226155358899</v>
      </c>
      <c r="J63" s="152">
        <v>6.6076696165191739</v>
      </c>
      <c r="K63" s="152">
        <v>6.6076696165191739</v>
      </c>
      <c r="L63" s="153">
        <v>60</v>
      </c>
      <c r="M63" s="153">
        <v>60</v>
      </c>
      <c r="N63" s="152">
        <v>4.1740412979350996</v>
      </c>
      <c r="O63" s="152">
        <v>4.1740412979350996</v>
      </c>
      <c r="P63" s="152">
        <v>0.29367420517862997</v>
      </c>
      <c r="Q63" s="152">
        <v>0.29367420517862997</v>
      </c>
      <c r="R63" s="152">
        <v>0.12068802952546437</v>
      </c>
      <c r="S63" s="152">
        <v>0.10057335793788696</v>
      </c>
      <c r="T63" s="152">
        <v>6.1891297192545831E-2</v>
      </c>
      <c r="U63" s="152">
        <v>3.9971462770185845E-2</v>
      </c>
      <c r="V63" s="191">
        <v>1</v>
      </c>
      <c r="W63" s="192">
        <v>1</v>
      </c>
      <c r="X63" s="192">
        <v>1</v>
      </c>
      <c r="Y63" s="193" t="s">
        <v>394</v>
      </c>
      <c r="Z63" s="179" t="s">
        <v>10</v>
      </c>
    </row>
    <row r="64" spans="2:26" x14ac:dyDescent="0.3">
      <c r="B64" s="176">
        <v>21</v>
      </c>
      <c r="C64" s="183" t="s">
        <v>293</v>
      </c>
      <c r="D64" s="22" t="s">
        <v>31</v>
      </c>
      <c r="E64" s="109" t="s">
        <v>327</v>
      </c>
      <c r="F64" s="109">
        <v>250</v>
      </c>
      <c r="G64" s="109">
        <v>250</v>
      </c>
      <c r="H64" s="23">
        <v>9.9690459046856514E-2</v>
      </c>
      <c r="I64" s="23">
        <v>3.8023502552742691E-3</v>
      </c>
      <c r="J64" s="23" t="s">
        <v>79</v>
      </c>
      <c r="K64" s="23" t="s">
        <v>79</v>
      </c>
      <c r="L64" s="35" t="s">
        <v>79</v>
      </c>
      <c r="M64" s="35" t="s">
        <v>79</v>
      </c>
      <c r="N64" s="23" t="s">
        <v>79</v>
      </c>
      <c r="O64" s="23" t="s">
        <v>79</v>
      </c>
      <c r="P64" s="23">
        <v>3.3230153015618838E-2</v>
      </c>
      <c r="Q64" s="184">
        <v>1.2674500850914231E-3</v>
      </c>
      <c r="R64" s="23">
        <v>2.2760378777821121E-2</v>
      </c>
      <c r="S64" s="184">
        <v>8.6811649663796095E-4</v>
      </c>
      <c r="T64" s="184">
        <v>1.1671989116831346E-2</v>
      </c>
      <c r="U64" s="184">
        <v>3.4502065892021529E-4</v>
      </c>
      <c r="V64" s="109">
        <v>12</v>
      </c>
      <c r="W64" s="188" t="s">
        <v>79</v>
      </c>
      <c r="X64" s="188" t="s">
        <v>79</v>
      </c>
      <c r="Y64" s="187" t="s">
        <v>375</v>
      </c>
      <c r="Z64" s="177" t="s">
        <v>10</v>
      </c>
    </row>
    <row r="65" spans="2:26" ht="13.5" thickBot="1" x14ac:dyDescent="0.35">
      <c r="B65" s="470">
        <v>22</v>
      </c>
      <c r="C65" s="471" t="s">
        <v>292</v>
      </c>
      <c r="D65" s="494" t="s">
        <v>31</v>
      </c>
      <c r="E65" s="472" t="s">
        <v>327</v>
      </c>
      <c r="F65" s="472">
        <v>250</v>
      </c>
      <c r="G65" s="472">
        <v>250</v>
      </c>
      <c r="H65" s="473">
        <v>1.1882604700510548</v>
      </c>
      <c r="I65" s="473">
        <v>1.1882604700510548</v>
      </c>
      <c r="J65" s="473" t="s">
        <v>79</v>
      </c>
      <c r="K65" s="473" t="s">
        <v>79</v>
      </c>
      <c r="L65" s="474" t="s">
        <v>79</v>
      </c>
      <c r="M65" s="474" t="s">
        <v>79</v>
      </c>
      <c r="N65" s="473" t="s">
        <v>79</v>
      </c>
      <c r="O65" s="473" t="s">
        <v>79</v>
      </c>
      <c r="P65" s="131">
        <v>0.39608682335035161</v>
      </c>
      <c r="Q65" s="195">
        <v>0.39608682335035161</v>
      </c>
      <c r="R65" s="131">
        <v>0.27129234476051478</v>
      </c>
      <c r="S65" s="195">
        <v>0.27129234476051478</v>
      </c>
      <c r="T65" s="195">
        <v>0.13912427936436655</v>
      </c>
      <c r="U65" s="195">
        <v>0.10782131650738409</v>
      </c>
      <c r="V65" s="472">
        <v>1</v>
      </c>
      <c r="W65" s="475" t="s">
        <v>79</v>
      </c>
      <c r="X65" s="475" t="s">
        <v>79</v>
      </c>
      <c r="Y65" s="196" t="s">
        <v>375</v>
      </c>
      <c r="Z65" s="197" t="s">
        <v>10</v>
      </c>
    </row>
  </sheetData>
  <sheetProtection algorithmName="SHA-512" hashValue="IzsM2fsYkXFix6Ikv8gqvobnLkN7DMQbI0c/kUQCFfpj0xgK+Exg7rTaiMxGiXVZ519NSoEn1bJ9QTtaWzXgrg==" saltValue="sxJNHZc8X34rh4tpt9Kc2w==" spinCount="100000" sheet="1" objects="1" scenarios="1"/>
  <mergeCells count="28">
    <mergeCell ref="B2:B4"/>
    <mergeCell ref="C2:C4"/>
    <mergeCell ref="D2:D4"/>
    <mergeCell ref="E2:E4"/>
    <mergeCell ref="H2:I2"/>
    <mergeCell ref="F2:G3"/>
    <mergeCell ref="Y2:Y4"/>
    <mergeCell ref="Z2:Z4"/>
    <mergeCell ref="H3:I3"/>
    <mergeCell ref="J3:K3"/>
    <mergeCell ref="L3:M3"/>
    <mergeCell ref="N3:O3"/>
    <mergeCell ref="P3:Q3"/>
    <mergeCell ref="R3:S3"/>
    <mergeCell ref="L2:M2"/>
    <mergeCell ref="N2:O2"/>
    <mergeCell ref="P2:Q2"/>
    <mergeCell ref="R2:S2"/>
    <mergeCell ref="T2:U2"/>
    <mergeCell ref="V2:V4"/>
    <mergeCell ref="T3:U3"/>
    <mergeCell ref="J2:K2"/>
    <mergeCell ref="H45:X45"/>
    <mergeCell ref="H39:X39"/>
    <mergeCell ref="H43:X43"/>
    <mergeCell ref="W2:W4"/>
    <mergeCell ref="X2:X4"/>
    <mergeCell ref="H41:X41"/>
  </mergeCells>
  <conditionalFormatting sqref="H40:U40 H42:U42 H44:U44 H46:U46 H5:U38 H48:U64">
    <cfRule type="cellIs" dxfId="15" priority="10" operator="lessThan">
      <formula>0.1</formula>
    </cfRule>
    <cfRule type="cellIs" dxfId="14" priority="11" operator="lessThan">
      <formula>10</formula>
    </cfRule>
    <cfRule type="cellIs" dxfId="13" priority="12" operator="greaterThanOrEqual">
      <formula>10</formula>
    </cfRule>
  </conditionalFormatting>
  <conditionalFormatting sqref="H47:U47">
    <cfRule type="cellIs" dxfId="12" priority="7" operator="lessThan">
      <formula>0.1</formula>
    </cfRule>
    <cfRule type="cellIs" dxfId="11" priority="8" operator="lessThan">
      <formula>10</formula>
    </cfRule>
    <cfRule type="cellIs" dxfId="10" priority="9" operator="greaterThanOrEqual">
      <formula>10</formula>
    </cfRule>
  </conditionalFormatting>
  <conditionalFormatting sqref="H65:O65">
    <cfRule type="cellIs" dxfId="9" priority="4" operator="lessThan">
      <formula>0.1</formula>
    </cfRule>
    <cfRule type="cellIs" dxfId="8" priority="5" operator="lessThan">
      <formula>10</formula>
    </cfRule>
    <cfRule type="cellIs" dxfId="7" priority="6" operator="greaterThanOrEqual">
      <formula>10</formula>
    </cfRule>
  </conditionalFormatting>
  <conditionalFormatting sqref="P65:U65">
    <cfRule type="cellIs" dxfId="6" priority="1" operator="lessThan">
      <formula>0.1</formula>
    </cfRule>
    <cfRule type="cellIs" dxfId="5" priority="2" operator="lessThan">
      <formula>10</formula>
    </cfRule>
    <cfRule type="cellIs" dxfId="4" priority="3" operator="greaterThanOrEqual">
      <formula>10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6B110-8E01-4638-9919-60D7B952F7F3}">
  <sheetPr codeName="Sheet5">
    <tabColor theme="1"/>
  </sheetPr>
  <dimension ref="A1:G40"/>
  <sheetViews>
    <sheetView workbookViewId="0">
      <selection activeCell="A2" sqref="A2"/>
    </sheetView>
  </sheetViews>
  <sheetFormatPr defaultRowHeight="14.5" x14ac:dyDescent="0.35"/>
  <cols>
    <col min="1" max="1" width="36.26953125" customWidth="1"/>
    <col min="2" max="2" width="29" customWidth="1"/>
    <col min="3" max="3" width="9.1796875" style="389"/>
    <col min="5" max="5" width="14.26953125" customWidth="1"/>
    <col min="6" max="6" width="13.81640625" customWidth="1"/>
    <col min="7" max="7" width="17.81640625" customWidth="1"/>
  </cols>
  <sheetData>
    <row r="1" spans="1:7" ht="15" thickBot="1" x14ac:dyDescent="0.4"/>
    <row r="2" spans="1:7" ht="31.5" thickBot="1" x14ac:dyDescent="0.4">
      <c r="A2" s="398" t="s">
        <v>248</v>
      </c>
      <c r="B2" s="399" t="s">
        <v>249</v>
      </c>
      <c r="C2" s="400" t="s">
        <v>250</v>
      </c>
      <c r="D2" s="401" t="s">
        <v>251</v>
      </c>
      <c r="E2" s="401" t="s">
        <v>252</v>
      </c>
      <c r="F2" s="401" t="s">
        <v>253</v>
      </c>
      <c r="G2" s="402" t="s">
        <v>254</v>
      </c>
    </row>
    <row r="3" spans="1:7" x14ac:dyDescent="0.35">
      <c r="A3" s="394" t="s">
        <v>9</v>
      </c>
      <c r="B3" s="306" t="s">
        <v>9</v>
      </c>
      <c r="C3" s="395">
        <v>1</v>
      </c>
      <c r="D3" s="395">
        <v>1</v>
      </c>
      <c r="E3" s="395" t="s">
        <v>255</v>
      </c>
      <c r="F3" s="396">
        <v>0.12573322115863617</v>
      </c>
      <c r="G3" s="397" t="s">
        <v>79</v>
      </c>
    </row>
    <row r="4" spans="1:7" x14ac:dyDescent="0.35">
      <c r="A4" s="258" t="s">
        <v>256</v>
      </c>
      <c r="B4" s="259" t="s">
        <v>256</v>
      </c>
      <c r="C4" s="388">
        <v>1</v>
      </c>
      <c r="D4" s="388">
        <v>1</v>
      </c>
      <c r="E4" s="388" t="s">
        <v>255</v>
      </c>
      <c r="F4" s="396">
        <v>0.12573322115863617</v>
      </c>
      <c r="G4" s="392" t="s">
        <v>79</v>
      </c>
    </row>
    <row r="5" spans="1:7" x14ac:dyDescent="0.35">
      <c r="A5" s="258" t="s">
        <v>257</v>
      </c>
      <c r="B5" s="259" t="s">
        <v>257</v>
      </c>
      <c r="C5" s="388">
        <v>1</v>
      </c>
      <c r="D5" s="388">
        <v>1</v>
      </c>
      <c r="E5" s="388" t="s">
        <v>255</v>
      </c>
      <c r="F5" s="396">
        <v>0.12573322115863617</v>
      </c>
      <c r="G5" s="392" t="s">
        <v>79</v>
      </c>
    </row>
    <row r="6" spans="1:7" ht="43.5" x14ac:dyDescent="0.35">
      <c r="A6" s="258" t="s">
        <v>258</v>
      </c>
      <c r="B6" s="259" t="s">
        <v>258</v>
      </c>
      <c r="C6" s="388">
        <v>1</v>
      </c>
      <c r="D6" s="388">
        <v>1</v>
      </c>
      <c r="E6" s="388" t="s">
        <v>255</v>
      </c>
      <c r="F6" s="396">
        <v>0.12573322115863617</v>
      </c>
      <c r="G6" s="392" t="s">
        <v>79</v>
      </c>
    </row>
    <row r="7" spans="1:7" ht="43.5" x14ac:dyDescent="0.35">
      <c r="A7" s="258" t="s">
        <v>259</v>
      </c>
      <c r="B7" s="259" t="s">
        <v>259</v>
      </c>
      <c r="C7" s="388">
        <v>1</v>
      </c>
      <c r="D7" s="388">
        <v>1</v>
      </c>
      <c r="E7" s="388" t="s">
        <v>255</v>
      </c>
      <c r="F7" s="396">
        <v>0.12573322115863617</v>
      </c>
      <c r="G7" s="392" t="s">
        <v>79</v>
      </c>
    </row>
    <row r="8" spans="1:7" ht="29" x14ac:dyDescent="0.35">
      <c r="A8" s="258" t="s">
        <v>260</v>
      </c>
      <c r="B8" s="259" t="s">
        <v>260</v>
      </c>
      <c r="C8" s="388">
        <v>1</v>
      </c>
      <c r="D8" s="388">
        <v>1</v>
      </c>
      <c r="E8" s="388" t="s">
        <v>255</v>
      </c>
      <c r="F8" s="396">
        <v>0.12573322115863617</v>
      </c>
      <c r="G8" s="392" t="s">
        <v>79</v>
      </c>
    </row>
    <row r="9" spans="1:7" ht="29" x14ac:dyDescent="0.35">
      <c r="A9" s="258" t="s">
        <v>261</v>
      </c>
      <c r="B9" s="259" t="s">
        <v>261</v>
      </c>
      <c r="C9" s="388">
        <v>1</v>
      </c>
      <c r="D9" s="388">
        <v>1</v>
      </c>
      <c r="E9" s="388" t="s">
        <v>255</v>
      </c>
      <c r="F9" s="396">
        <v>0.12573322115863617</v>
      </c>
      <c r="G9" s="392" t="s">
        <v>79</v>
      </c>
    </row>
    <row r="10" spans="1:7" ht="29" x14ac:dyDescent="0.35">
      <c r="A10" s="258" t="s">
        <v>262</v>
      </c>
      <c r="B10" s="259" t="s">
        <v>262</v>
      </c>
      <c r="C10" s="388">
        <v>1</v>
      </c>
      <c r="D10" s="388">
        <v>1</v>
      </c>
      <c r="E10" s="388" t="s">
        <v>255</v>
      </c>
      <c r="F10" s="396">
        <v>0.12573322115863617</v>
      </c>
      <c r="G10" s="392" t="s">
        <v>79</v>
      </c>
    </row>
    <row r="11" spans="1:7" ht="29" x14ac:dyDescent="0.35">
      <c r="A11" s="258" t="s">
        <v>263</v>
      </c>
      <c r="B11" s="259" t="s">
        <v>263</v>
      </c>
      <c r="C11" s="388">
        <v>1</v>
      </c>
      <c r="D11" s="388">
        <v>1</v>
      </c>
      <c r="E11" s="388" t="s">
        <v>255</v>
      </c>
      <c r="F11" s="396">
        <v>0.12573322115863617</v>
      </c>
      <c r="G11" s="392" t="s">
        <v>79</v>
      </c>
    </row>
    <row r="12" spans="1:7" x14ac:dyDescent="0.35">
      <c r="A12" s="258" t="s">
        <v>264</v>
      </c>
      <c r="B12" s="278" t="s">
        <v>264</v>
      </c>
      <c r="C12" s="388">
        <v>2</v>
      </c>
      <c r="D12" s="388">
        <v>1</v>
      </c>
      <c r="E12" s="388" t="s">
        <v>265</v>
      </c>
      <c r="F12" s="396">
        <v>0.12573322115863617</v>
      </c>
      <c r="G12" s="392">
        <v>1</v>
      </c>
    </row>
    <row r="13" spans="1:7" x14ac:dyDescent="0.35">
      <c r="A13" s="258" t="s">
        <v>266</v>
      </c>
      <c r="B13" s="278" t="s">
        <v>266</v>
      </c>
      <c r="C13" s="388">
        <v>2</v>
      </c>
      <c r="D13" s="388">
        <v>1</v>
      </c>
      <c r="E13" s="388" t="s">
        <v>265</v>
      </c>
      <c r="F13" s="396">
        <v>0.12573322115863617</v>
      </c>
      <c r="G13" s="392">
        <v>1</v>
      </c>
    </row>
    <row r="14" spans="1:7" x14ac:dyDescent="0.35">
      <c r="A14" s="258" t="s">
        <v>267</v>
      </c>
      <c r="B14" s="278" t="s">
        <v>267</v>
      </c>
      <c r="C14" s="388">
        <v>2</v>
      </c>
      <c r="D14" s="388">
        <v>1</v>
      </c>
      <c r="E14" s="388" t="s">
        <v>265</v>
      </c>
      <c r="F14" s="396">
        <v>0.12573322115863617</v>
      </c>
      <c r="G14" s="392">
        <v>1</v>
      </c>
    </row>
    <row r="15" spans="1:7" x14ac:dyDescent="0.35">
      <c r="A15" s="258" t="s">
        <v>268</v>
      </c>
      <c r="B15" s="278" t="s">
        <v>268</v>
      </c>
      <c r="C15" s="388">
        <v>2</v>
      </c>
      <c r="D15" s="388">
        <v>1</v>
      </c>
      <c r="E15" s="388" t="s">
        <v>265</v>
      </c>
      <c r="F15" s="396">
        <v>0.12573322115863617</v>
      </c>
      <c r="G15" s="392">
        <v>1</v>
      </c>
    </row>
    <row r="16" spans="1:7" x14ac:dyDescent="0.35">
      <c r="A16" s="258" t="s">
        <v>269</v>
      </c>
      <c r="B16" s="278" t="s">
        <v>269</v>
      </c>
      <c r="C16" s="388">
        <v>2</v>
      </c>
      <c r="D16" s="388">
        <v>1</v>
      </c>
      <c r="E16" s="388" t="s">
        <v>265</v>
      </c>
      <c r="F16" s="396">
        <v>0.12573322115863617</v>
      </c>
      <c r="G16" s="392">
        <v>1</v>
      </c>
    </row>
    <row r="17" spans="1:7" x14ac:dyDescent="0.35">
      <c r="A17" s="258" t="s">
        <v>270</v>
      </c>
      <c r="B17" s="278" t="s">
        <v>270</v>
      </c>
      <c r="C17" s="388">
        <v>3</v>
      </c>
      <c r="D17" s="388">
        <v>0.98</v>
      </c>
      <c r="E17" s="388" t="s">
        <v>255</v>
      </c>
      <c r="F17" s="391">
        <v>0.19218572296971967</v>
      </c>
      <c r="G17" s="392" t="s">
        <v>79</v>
      </c>
    </row>
    <row r="18" spans="1:7" ht="29" x14ac:dyDescent="0.35">
      <c r="A18" s="258" t="s">
        <v>271</v>
      </c>
      <c r="B18" s="279" t="s">
        <v>271</v>
      </c>
      <c r="C18" s="388">
        <v>4</v>
      </c>
      <c r="D18" s="388">
        <v>1</v>
      </c>
      <c r="E18" s="388" t="s">
        <v>265</v>
      </c>
      <c r="F18" s="391">
        <v>0.19218572296971967</v>
      </c>
      <c r="G18" s="392">
        <v>1</v>
      </c>
    </row>
    <row r="19" spans="1:7" ht="29" x14ac:dyDescent="0.35">
      <c r="A19" s="258" t="s">
        <v>272</v>
      </c>
      <c r="B19" s="278" t="s">
        <v>272</v>
      </c>
      <c r="C19" s="388">
        <v>4</v>
      </c>
      <c r="D19" s="388">
        <v>1</v>
      </c>
      <c r="E19" s="388" t="s">
        <v>265</v>
      </c>
      <c r="F19" s="391">
        <v>0.19218572296971967</v>
      </c>
      <c r="G19" s="392">
        <v>1</v>
      </c>
    </row>
    <row r="20" spans="1:7" x14ac:dyDescent="0.35">
      <c r="A20" s="258" t="s">
        <v>273</v>
      </c>
      <c r="B20" s="278" t="s">
        <v>273</v>
      </c>
      <c r="C20" s="388">
        <v>6</v>
      </c>
      <c r="D20" s="388">
        <v>0.8</v>
      </c>
      <c r="E20" s="388" t="s">
        <v>265</v>
      </c>
      <c r="F20" s="391">
        <v>0.19218572296971967</v>
      </c>
      <c r="G20" s="392">
        <v>1</v>
      </c>
    </row>
    <row r="21" spans="1:7" x14ac:dyDescent="0.35">
      <c r="A21" s="258" t="s">
        <v>274</v>
      </c>
      <c r="B21" s="278" t="s">
        <v>274</v>
      </c>
      <c r="C21" s="388">
        <v>6</v>
      </c>
      <c r="D21" s="388">
        <v>0.8</v>
      </c>
      <c r="E21" s="388" t="s">
        <v>265</v>
      </c>
      <c r="F21" s="391">
        <v>0.12573322115863617</v>
      </c>
      <c r="G21" s="392">
        <v>1</v>
      </c>
    </row>
    <row r="22" spans="1:7" x14ac:dyDescent="0.35">
      <c r="A22" s="258" t="s">
        <v>275</v>
      </c>
      <c r="B22" s="278" t="s">
        <v>275</v>
      </c>
      <c r="C22" s="388">
        <v>6</v>
      </c>
      <c r="D22" s="388">
        <v>0.8</v>
      </c>
      <c r="E22" s="388" t="s">
        <v>265</v>
      </c>
      <c r="F22" s="391">
        <v>0.19218572296971967</v>
      </c>
      <c r="G22" s="392">
        <v>1</v>
      </c>
    </row>
    <row r="23" spans="1:7" x14ac:dyDescent="0.35">
      <c r="A23" s="258" t="s">
        <v>276</v>
      </c>
      <c r="B23" s="278" t="s">
        <v>276</v>
      </c>
      <c r="C23" s="388">
        <v>6</v>
      </c>
      <c r="D23" s="388">
        <v>0.8</v>
      </c>
      <c r="E23" s="388" t="s">
        <v>265</v>
      </c>
      <c r="F23" s="396">
        <v>0.12573322115863617</v>
      </c>
      <c r="G23" s="392">
        <v>1</v>
      </c>
    </row>
    <row r="24" spans="1:7" x14ac:dyDescent="0.35">
      <c r="A24" s="258" t="s">
        <v>277</v>
      </c>
      <c r="B24" s="278" t="s">
        <v>277</v>
      </c>
      <c r="C24" s="388">
        <v>2</v>
      </c>
      <c r="D24" s="388">
        <v>1</v>
      </c>
      <c r="E24" s="388" t="s">
        <v>265</v>
      </c>
      <c r="F24" s="396">
        <v>0.12573322115863617</v>
      </c>
      <c r="G24" s="392">
        <v>1</v>
      </c>
    </row>
    <row r="25" spans="1:7" x14ac:dyDescent="0.35">
      <c r="A25" s="258" t="s">
        <v>278</v>
      </c>
      <c r="B25" s="278" t="s">
        <v>278</v>
      </c>
      <c r="C25" s="388">
        <v>1</v>
      </c>
      <c r="D25" s="388">
        <v>1</v>
      </c>
      <c r="E25" s="388" t="s">
        <v>255</v>
      </c>
      <c r="F25" s="396">
        <v>0.12573322115863617</v>
      </c>
      <c r="G25" s="392" t="s">
        <v>79</v>
      </c>
    </row>
    <row r="26" spans="1:7" ht="29" x14ac:dyDescent="0.35">
      <c r="A26" s="258" t="s">
        <v>279</v>
      </c>
      <c r="B26" s="279" t="s">
        <v>279</v>
      </c>
      <c r="C26" s="388">
        <v>1</v>
      </c>
      <c r="D26" s="388">
        <v>1</v>
      </c>
      <c r="E26" s="388" t="s">
        <v>255</v>
      </c>
      <c r="F26" s="396">
        <v>0.12573322115863617</v>
      </c>
      <c r="G26" s="392" t="s">
        <v>79</v>
      </c>
    </row>
    <row r="27" spans="1:7" ht="29" x14ac:dyDescent="0.35">
      <c r="A27" s="258" t="s">
        <v>280</v>
      </c>
      <c r="B27" s="279" t="s">
        <v>280</v>
      </c>
      <c r="C27" s="388">
        <v>1</v>
      </c>
      <c r="D27" s="388">
        <v>1</v>
      </c>
      <c r="E27" s="388" t="s">
        <v>255</v>
      </c>
      <c r="F27" s="396">
        <v>0.12573322115863617</v>
      </c>
      <c r="G27" s="392" t="s">
        <v>79</v>
      </c>
    </row>
    <row r="28" spans="1:7" ht="29" x14ac:dyDescent="0.35">
      <c r="A28" s="258" t="s">
        <v>281</v>
      </c>
      <c r="B28" s="279" t="s">
        <v>281</v>
      </c>
      <c r="C28" s="388">
        <v>1</v>
      </c>
      <c r="D28" s="388">
        <v>1</v>
      </c>
      <c r="E28" s="388" t="s">
        <v>255</v>
      </c>
      <c r="F28" s="396">
        <v>0.12573322115863617</v>
      </c>
      <c r="G28" s="392" t="s">
        <v>79</v>
      </c>
    </row>
    <row r="29" spans="1:7" ht="29" x14ac:dyDescent="0.35">
      <c r="A29" s="258" t="s">
        <v>282</v>
      </c>
      <c r="B29" s="279" t="s">
        <v>282</v>
      </c>
      <c r="C29" s="388">
        <v>1</v>
      </c>
      <c r="D29" s="388">
        <v>1</v>
      </c>
      <c r="E29" s="388" t="s">
        <v>255</v>
      </c>
      <c r="F29" s="396">
        <v>0.12573322115863617</v>
      </c>
      <c r="G29" s="392" t="s">
        <v>79</v>
      </c>
    </row>
    <row r="30" spans="1:7" x14ac:dyDescent="0.35">
      <c r="A30" s="258" t="s">
        <v>283</v>
      </c>
      <c r="B30" s="280" t="s">
        <v>283</v>
      </c>
      <c r="C30" s="388">
        <v>5</v>
      </c>
      <c r="D30" s="388">
        <v>0.1</v>
      </c>
      <c r="E30" s="388" t="s">
        <v>265</v>
      </c>
      <c r="F30" s="396">
        <v>0.12573322115863617</v>
      </c>
      <c r="G30" s="392">
        <v>1</v>
      </c>
    </row>
    <row r="31" spans="1:7" ht="29" x14ac:dyDescent="0.35">
      <c r="A31" s="258" t="s">
        <v>284</v>
      </c>
      <c r="B31" s="280" t="s">
        <v>284</v>
      </c>
      <c r="C31" s="388">
        <v>4</v>
      </c>
      <c r="D31" s="388">
        <v>1</v>
      </c>
      <c r="E31" s="388" t="s">
        <v>265</v>
      </c>
      <c r="F31" s="391">
        <v>0.19218572296971967</v>
      </c>
      <c r="G31" s="392">
        <v>1</v>
      </c>
    </row>
    <row r="32" spans="1:7" ht="43.5" x14ac:dyDescent="0.35">
      <c r="A32" s="258" t="s">
        <v>285</v>
      </c>
      <c r="B32" s="280" t="s">
        <v>285</v>
      </c>
      <c r="C32" s="388">
        <v>4</v>
      </c>
      <c r="D32" s="388">
        <v>1</v>
      </c>
      <c r="E32" s="388" t="s">
        <v>265</v>
      </c>
      <c r="F32" s="391">
        <v>0.19218572296971967</v>
      </c>
      <c r="G32" s="392">
        <v>1</v>
      </c>
    </row>
    <row r="33" spans="1:7" x14ac:dyDescent="0.35">
      <c r="A33" s="258" t="s">
        <v>286</v>
      </c>
      <c r="B33" s="280" t="s">
        <v>286</v>
      </c>
      <c r="C33" s="388">
        <v>4</v>
      </c>
      <c r="D33" s="388">
        <v>1</v>
      </c>
      <c r="E33" s="388" t="s">
        <v>265</v>
      </c>
      <c r="F33" s="391">
        <v>0.19218572296971967</v>
      </c>
      <c r="G33" s="392">
        <v>1</v>
      </c>
    </row>
    <row r="34" spans="1:7" ht="29" x14ac:dyDescent="0.35">
      <c r="A34" s="258" t="s">
        <v>287</v>
      </c>
      <c r="B34" s="280" t="s">
        <v>287</v>
      </c>
      <c r="C34" s="388">
        <v>4</v>
      </c>
      <c r="D34" s="388">
        <v>1</v>
      </c>
      <c r="E34" s="388" t="s">
        <v>265</v>
      </c>
      <c r="F34" s="391">
        <v>0.19218572296971967</v>
      </c>
      <c r="G34" s="392">
        <v>1</v>
      </c>
    </row>
    <row r="35" spans="1:7" ht="29" x14ac:dyDescent="0.35">
      <c r="A35" s="258" t="s">
        <v>288</v>
      </c>
      <c r="B35" s="280" t="s">
        <v>288</v>
      </c>
      <c r="C35" s="388">
        <v>4</v>
      </c>
      <c r="D35" s="388">
        <v>1</v>
      </c>
      <c r="E35" s="388" t="s">
        <v>265</v>
      </c>
      <c r="F35" s="391">
        <v>0.19218572296971967</v>
      </c>
      <c r="G35" s="392">
        <v>1</v>
      </c>
    </row>
    <row r="36" spans="1:7" ht="29" x14ac:dyDescent="0.35">
      <c r="A36" s="258" t="s">
        <v>289</v>
      </c>
      <c r="B36" s="280" t="s">
        <v>289</v>
      </c>
      <c r="C36" s="388">
        <v>4</v>
      </c>
      <c r="D36" s="388">
        <v>1</v>
      </c>
      <c r="E36" s="388" t="s">
        <v>265</v>
      </c>
      <c r="F36" s="391">
        <v>0.19218572296971967</v>
      </c>
      <c r="G36" s="392">
        <v>1</v>
      </c>
    </row>
    <row r="37" spans="1:7" ht="29" x14ac:dyDescent="0.35">
      <c r="A37" s="258" t="s">
        <v>290</v>
      </c>
      <c r="B37" s="280" t="s">
        <v>290</v>
      </c>
      <c r="C37" s="388">
        <v>1</v>
      </c>
      <c r="D37" s="388">
        <v>1</v>
      </c>
      <c r="E37" s="388" t="s">
        <v>255</v>
      </c>
      <c r="F37" s="396">
        <v>0.12573322115863617</v>
      </c>
      <c r="G37" s="392" t="s">
        <v>79</v>
      </c>
    </row>
    <row r="38" spans="1:7" x14ac:dyDescent="0.35">
      <c r="A38" s="258" t="s">
        <v>291</v>
      </c>
      <c r="B38" s="280" t="s">
        <v>291</v>
      </c>
      <c r="C38" s="388">
        <v>1</v>
      </c>
      <c r="D38" s="388">
        <v>1</v>
      </c>
      <c r="E38" s="388" t="s">
        <v>255</v>
      </c>
      <c r="F38" s="396">
        <v>0.12573322115863617</v>
      </c>
      <c r="G38" s="392" t="s">
        <v>79</v>
      </c>
    </row>
    <row r="39" spans="1:7" x14ac:dyDescent="0.35">
      <c r="A39" s="477" t="s">
        <v>292</v>
      </c>
      <c r="B39" s="478" t="s">
        <v>292</v>
      </c>
      <c r="C39" s="479">
        <v>2</v>
      </c>
      <c r="D39" s="479">
        <v>1</v>
      </c>
      <c r="E39" s="479" t="s">
        <v>265</v>
      </c>
      <c r="F39" s="396">
        <v>0.12573322115863617</v>
      </c>
      <c r="G39" s="480">
        <v>1</v>
      </c>
    </row>
    <row r="40" spans="1:7" ht="15" thickBot="1" x14ac:dyDescent="0.4">
      <c r="A40" s="267" t="s">
        <v>293</v>
      </c>
      <c r="B40" s="281" t="s">
        <v>293</v>
      </c>
      <c r="C40" s="390">
        <v>1</v>
      </c>
      <c r="D40" s="390">
        <v>1</v>
      </c>
      <c r="E40" s="390" t="s">
        <v>255</v>
      </c>
      <c r="F40" s="417">
        <v>0.12573322115863617</v>
      </c>
      <c r="G40" s="393" t="s">
        <v>79</v>
      </c>
    </row>
  </sheetData>
  <sheetProtection algorithmName="SHA-512" hashValue="fu88CWp2R60mqmVmJ31NLs4BPArAFvi6wTin4blEfI02oBEIXSx8jv22TsKElrGNtVH+CFfpby3+OZlYM9rHew==" saltValue="XMmem0H28fVRPRGJnhxJk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0C0E0-9D8D-4FCE-A7DF-4F6DF1D962F6}">
  <sheetPr codeName="Sheet6">
    <tabColor theme="1"/>
  </sheetPr>
  <dimension ref="A1:Q13"/>
  <sheetViews>
    <sheetView workbookViewId="0">
      <selection sqref="A1:F1"/>
    </sheetView>
  </sheetViews>
  <sheetFormatPr defaultRowHeight="14.5" x14ac:dyDescent="0.35"/>
  <cols>
    <col min="1" max="1" width="27.26953125" customWidth="1"/>
    <col min="2" max="2" width="19.7265625" customWidth="1"/>
    <col min="3" max="3" width="16" customWidth="1"/>
    <col min="4" max="4" width="15.54296875" customWidth="1"/>
    <col min="5" max="5" width="12.26953125" customWidth="1"/>
    <col min="8" max="8" width="18.26953125" customWidth="1"/>
    <col min="9" max="9" width="18.1796875" customWidth="1"/>
    <col min="10" max="10" width="15.7265625" customWidth="1"/>
    <col min="11" max="11" width="12.54296875" customWidth="1"/>
    <col min="12" max="12" width="12.26953125" customWidth="1"/>
    <col min="13" max="13" width="19.26953125" customWidth="1"/>
    <col min="14" max="14" width="19.453125" customWidth="1"/>
    <col min="15" max="15" width="21.7265625" customWidth="1"/>
    <col min="16" max="16" width="19.54296875" customWidth="1"/>
    <col min="17" max="17" width="18.81640625" customWidth="1"/>
  </cols>
  <sheetData>
    <row r="1" spans="1:17" ht="15" thickBot="1" x14ac:dyDescent="0.4">
      <c r="A1" s="686" t="s">
        <v>294</v>
      </c>
      <c r="B1" s="686"/>
      <c r="C1" s="686"/>
      <c r="D1" s="686"/>
      <c r="E1" s="686"/>
      <c r="F1" s="687"/>
      <c r="G1" s="688" t="s">
        <v>295</v>
      </c>
      <c r="H1" s="689"/>
      <c r="I1" s="689"/>
      <c r="J1" s="689"/>
      <c r="K1" s="689"/>
      <c r="L1" s="689"/>
      <c r="M1" s="689"/>
      <c r="N1" s="690" t="s">
        <v>296</v>
      </c>
      <c r="O1" s="691"/>
      <c r="P1" s="691"/>
      <c r="Q1" s="692"/>
    </row>
    <row r="2" spans="1:17" x14ac:dyDescent="0.35">
      <c r="A2" s="237"/>
      <c r="B2" s="238"/>
      <c r="C2" s="239"/>
      <c r="D2" s="693" t="s">
        <v>297</v>
      </c>
      <c r="E2" s="693" t="s">
        <v>15</v>
      </c>
      <c r="F2" s="240"/>
      <c r="G2" s="695" t="s">
        <v>298</v>
      </c>
      <c r="H2" s="698" t="s">
        <v>299</v>
      </c>
      <c r="I2" s="677" t="s">
        <v>300</v>
      </c>
      <c r="J2" s="700" t="s">
        <v>301</v>
      </c>
      <c r="K2" s="674" t="s">
        <v>302</v>
      </c>
      <c r="L2" s="674" t="s">
        <v>303</v>
      </c>
      <c r="M2" s="677" t="s">
        <v>304</v>
      </c>
      <c r="N2" s="680" t="s">
        <v>20</v>
      </c>
      <c r="O2" s="682" t="s">
        <v>21</v>
      </c>
      <c r="P2" s="682" t="s">
        <v>22</v>
      </c>
      <c r="Q2" s="684" t="s">
        <v>23</v>
      </c>
    </row>
    <row r="3" spans="1:17" x14ac:dyDescent="0.35">
      <c r="A3" s="241"/>
      <c r="B3" s="242"/>
      <c r="C3" s="243"/>
      <c r="D3" s="694"/>
      <c r="E3" s="694"/>
      <c r="F3" s="244"/>
      <c r="G3" s="696"/>
      <c r="H3" s="694"/>
      <c r="I3" s="678"/>
      <c r="J3" s="675"/>
      <c r="K3" s="675"/>
      <c r="L3" s="675"/>
      <c r="M3" s="678"/>
      <c r="N3" s="681"/>
      <c r="O3" s="683"/>
      <c r="P3" s="683"/>
      <c r="Q3" s="685"/>
    </row>
    <row r="4" spans="1:17" ht="17" thickBot="1" x14ac:dyDescent="0.4">
      <c r="A4" s="245" t="s">
        <v>248</v>
      </c>
      <c r="B4" s="246" t="s">
        <v>249</v>
      </c>
      <c r="C4" s="247" t="s">
        <v>305</v>
      </c>
      <c r="D4" s="694"/>
      <c r="E4" s="694"/>
      <c r="F4" s="498" t="s">
        <v>250</v>
      </c>
      <c r="G4" s="697"/>
      <c r="H4" s="699"/>
      <c r="I4" s="679"/>
      <c r="J4" s="701"/>
      <c r="K4" s="676"/>
      <c r="L4" s="676"/>
      <c r="M4" s="679"/>
      <c r="N4" s="248" t="s">
        <v>306</v>
      </c>
      <c r="O4" s="248" t="s">
        <v>307</v>
      </c>
      <c r="P4" s="248" t="s">
        <v>308</v>
      </c>
      <c r="Q4" s="249" t="s">
        <v>308</v>
      </c>
    </row>
    <row r="5" spans="1:17" ht="29" x14ac:dyDescent="0.35">
      <c r="A5" s="250" t="str">
        <f>Dashboard!$C$4</f>
        <v>Manufacturing - 8-hr TWA</v>
      </c>
      <c r="B5" s="277" t="str">
        <f>VLOOKUP($A5, 'Dermal Crosswalk'!$A$3:$G$40, 2, FALSE)</f>
        <v>Manufacturing - 8-hr TWA</v>
      </c>
      <c r="C5" s="251" t="str">
        <f>Dashboard!$N$4</f>
        <v>Average Adult Worker</v>
      </c>
      <c r="D5" s="251" t="s">
        <v>119</v>
      </c>
      <c r="E5" s="251" t="s">
        <v>32</v>
      </c>
      <c r="F5" s="253">
        <f>VLOOKUP($A5,'Dermal Crosswalk'!$A$3:$G$40,3,FALSE)</f>
        <v>1</v>
      </c>
      <c r="G5" s="253">
        <f>VLOOKUP($A5,'Dermal Crosswalk'!$A$3:$G$40,4,FALSE)</f>
        <v>1</v>
      </c>
      <c r="H5" s="253">
        <f>IF($D5="No Gloves",VLOOKUP($A5,'Dermal Crosswalk'!$A$3:$G$40,6,FALSE),VLOOKUP($A5,'Dermal Crosswalk'!$A$3:$G$40,7,FALSE))</f>
        <v>0.12573322115863617</v>
      </c>
      <c r="I5" s="321">
        <f>VLOOKUP($A5,'Inhalation Exposure'!$C$5:$Z$65,MATCH('Dermal Exposure'!$E5, 'Inhalation Exposure'!$F$4:$G$4, 0)+3, FALSE)</f>
        <v>250</v>
      </c>
      <c r="J5" s="395">
        <v>1</v>
      </c>
      <c r="K5" s="324">
        <f>HLOOKUP($C5,'Exposure Factors'!$C$3:$D$9,MATCH($E5,'Exposure Factors'!$E$5:$E$6,0)+2,FALSE)</f>
        <v>1070</v>
      </c>
      <c r="L5" s="252">
        <f>HLOOKUP($C5,'Exposure Factors'!$C$3:$D$9,2,FALSE)</f>
        <v>80</v>
      </c>
      <c r="M5" s="254">
        <v>2.1</v>
      </c>
      <c r="N5" s="255">
        <f>IFERROR(K5*M5*H5*G5*J5,"Not Assessed")</f>
        <v>282.52254794345549</v>
      </c>
      <c r="O5" s="255">
        <f>IFERROR($N5/L5,"Not Assessed")</f>
        <v>3.5315318492931937</v>
      </c>
      <c r="P5" s="256">
        <f>IFERROR($O5*$I5*HLOOKUP($C5,'Exposure Factors'!$C$3:$D$9,MATCH($E5,'Exposure Factors'!$E$7:$E$8,0)+4,FALSE)/(365*HLOOKUP($C5,'Exposure Factors'!$C$3:$D$9,MATCH($E5,'Exposure Factors'!$E$7:$E$8,0)+4,FALSE)),"Not Assessed")</f>
        <v>2.4188574310227358</v>
      </c>
      <c r="Q5" s="257">
        <f>IFERROR($O5*$I5*HLOOKUP($C5,'Exposure Factors'!$C$3:$D$9,MATCH($E5,'Exposure Factors'!$E$7:$E$8,0)+4,FALSE)/(365*HLOOKUP($C5,'Exposure Factors'!$C$3:$D$9,7,FALSE)),"Not Assessed")</f>
        <v>1.2404397082167875</v>
      </c>
    </row>
    <row r="6" spans="1:17" ht="29" x14ac:dyDescent="0.35">
      <c r="A6" s="258" t="str">
        <f>Dashboard!$C$4</f>
        <v>Manufacturing - 8-hr TWA</v>
      </c>
      <c r="B6" s="259" t="str">
        <f>VLOOKUP($A6, 'Dermal Crosswalk'!$A$3:$G$40, 2, FALSE)</f>
        <v>Manufacturing - 8-hr TWA</v>
      </c>
      <c r="C6" s="259" t="str">
        <f>Dashboard!$N$4</f>
        <v>Average Adult Worker</v>
      </c>
      <c r="D6" s="259" t="s">
        <v>119</v>
      </c>
      <c r="E6" s="259" t="s">
        <v>35</v>
      </c>
      <c r="F6" s="260">
        <f>VLOOKUP($A6,'Dermal Crosswalk'!$A$3:$G$40,3,FALSE)</f>
        <v>1</v>
      </c>
      <c r="G6" s="260">
        <f>VLOOKUP($A6,'Dermal Crosswalk'!$A$3:$G$40,4,FALSE)</f>
        <v>1</v>
      </c>
      <c r="H6" s="260">
        <f>IF($D6="No Gloves",VLOOKUP($A6,'Dermal Crosswalk'!$A$3:$G$40,6,FALSE),VLOOKUP($A6,'Dermal Crosswalk'!$A$3:$G$40,7,FALSE))</f>
        <v>0.12573322115863617</v>
      </c>
      <c r="I6" s="322">
        <f>VLOOKUP($A6,'Inhalation Exposure'!$C$5:$Z$65, MATCH('Dermal Exposure'!$E6, 'Inhalation Exposure'!$F$4:$G$4, 0)+3, FALSE)</f>
        <v>250</v>
      </c>
      <c r="J6" s="388">
        <v>1</v>
      </c>
      <c r="K6" s="325">
        <f>HLOOKUP($C5,'Exposure Factors'!$C$3:$D$9,MATCH($E6,'Exposure Factors'!$E$5:$E$6,0)+2,FALSE)</f>
        <v>535</v>
      </c>
      <c r="L6" s="261">
        <f>HLOOKUP($C6,'Exposure Factors'!$C$3:$D$9,2,FALSE)</f>
        <v>80</v>
      </c>
      <c r="M6" s="262">
        <v>1.4</v>
      </c>
      <c r="N6" s="263">
        <f t="shared" ref="N6:N8" si="0">IFERROR(K6*M6*H6*G6*J6,"Not Assessed")</f>
        <v>94.174182647818483</v>
      </c>
      <c r="O6" s="263">
        <f t="shared" ref="O6:O8" si="1">IFERROR($N6/L6,"Not Assessed")</f>
        <v>1.177177283097731</v>
      </c>
      <c r="P6" s="264">
        <f>IFERROR($O6*$I6*HLOOKUP($C6,'Exposure Factors'!$C$3:$D$9,MATCH($E6,'Exposure Factors'!$E$7:$E$8,0)+4,FALSE)/(365*HLOOKUP($C6,'Exposure Factors'!$C$3:$D$9,MATCH($E6,'Exposure Factors'!$E$7:$E$8,0)+4,FALSE)),"Not Assessed")</f>
        <v>0.80628581034091162</v>
      </c>
      <c r="Q6" s="265">
        <f>IFERROR($O6*$I6*HLOOKUP($C6,'Exposure Factors'!$C$3:$D$9,MATCH($E6,'Exposure Factors'!$E$7:$E$8,0)+4,FALSE)/(365*HLOOKUP($C6,'Exposure Factors'!$C$3:$D$9,7,FALSE)),"Not Assessed")</f>
        <v>0.32044692462266999</v>
      </c>
    </row>
    <row r="7" spans="1:17" ht="29" x14ac:dyDescent="0.35">
      <c r="A7" s="258" t="str">
        <f>Dashboard!$C$4</f>
        <v>Manufacturing - 8-hr TWA</v>
      </c>
      <c r="B7" s="259" t="str">
        <f>VLOOKUP($A7, 'Dermal Crosswalk'!$A$3:$G$40, 2, FALSE)</f>
        <v>Manufacturing - 8-hr TWA</v>
      </c>
      <c r="C7" s="259" t="str">
        <f>Dashboard!$N$4</f>
        <v>Average Adult Worker</v>
      </c>
      <c r="D7" s="259" t="s">
        <v>120</v>
      </c>
      <c r="E7" s="259" t="s">
        <v>32</v>
      </c>
      <c r="F7" s="260">
        <f>VLOOKUP($A7,'Dermal Crosswalk'!$A$3:$G$40,3,FALSE)</f>
        <v>1</v>
      </c>
      <c r="G7" s="260">
        <f>VLOOKUP($A7,'Dermal Crosswalk'!$A$3:$G$40,4,FALSE)</f>
        <v>1</v>
      </c>
      <c r="H7" s="260" t="str">
        <f>IF($D7="No Gloves",VLOOKUP($A7,'Dermal Crosswalk'!$A$3:$G$40,6,FALSE),VLOOKUP($A7,'Dermal Crosswalk'!$A$3:$G$40,7,FALSE))</f>
        <v>N/A</v>
      </c>
      <c r="I7" s="322">
        <f>VLOOKUP($A7,'Inhalation Exposure'!$C$5:$Z$65, MATCH('Dermal Exposure'!$E7, 'Inhalation Exposure'!$F$4:$G$4, 0)+3, FALSE)</f>
        <v>250</v>
      </c>
      <c r="J7" s="388">
        <v>1</v>
      </c>
      <c r="K7" s="325">
        <f>HLOOKUP($C6,'Exposure Factors'!$C$3:$D$9,MATCH($E7,'Exposure Factors'!$E$5:$E$6,0)+2,FALSE)</f>
        <v>1070</v>
      </c>
      <c r="L7" s="261">
        <f>HLOOKUP($C7,'Exposure Factors'!$C$3:$D$9,2,FALSE)</f>
        <v>80</v>
      </c>
      <c r="M7" s="262">
        <v>2.1</v>
      </c>
      <c r="N7" s="263" t="str">
        <f t="shared" si="0"/>
        <v>Not Assessed</v>
      </c>
      <c r="O7" s="263" t="str">
        <f t="shared" si="1"/>
        <v>Not Assessed</v>
      </c>
      <c r="P7" s="266" t="str">
        <f>IFERROR($O7*$I7*HLOOKUP($C7,'Exposure Factors'!$C$3:$D$9,MATCH($E7,'Exposure Factors'!$E$7:$E$8,0)+4,FALSE)/(365*HLOOKUP($C7,'Exposure Factors'!$C$3:$D$9,MATCH($E7,'Exposure Factors'!$E$7:$E$8,0)+4,FALSE)),"Not Assessed")</f>
        <v>Not Assessed</v>
      </c>
      <c r="Q7" s="265" t="str">
        <f>IFERROR($O7*$I7*HLOOKUP($C7,'Exposure Factors'!$C$3:$D$9,MATCH($E7,'Exposure Factors'!$E$7:$E$8,0)+4,FALSE)/(365*HLOOKUP($C7,'Exposure Factors'!$C$3:$D$9,7,FALSE)),"Not Assessed")</f>
        <v>Not Assessed</v>
      </c>
    </row>
    <row r="8" spans="1:17" ht="29.5" thickBot="1" x14ac:dyDescent="0.4">
      <c r="A8" s="267" t="str">
        <f>Dashboard!$C$4</f>
        <v>Manufacturing - 8-hr TWA</v>
      </c>
      <c r="B8" s="268" t="str">
        <f>VLOOKUP($A8, 'Dermal Crosswalk'!$A$3:$G$40, 2, FALSE)</f>
        <v>Manufacturing - 8-hr TWA</v>
      </c>
      <c r="C8" s="268" t="str">
        <f>Dashboard!$N$4</f>
        <v>Average Adult Worker</v>
      </c>
      <c r="D8" s="268" t="s">
        <v>120</v>
      </c>
      <c r="E8" s="268" t="s">
        <v>35</v>
      </c>
      <c r="F8" s="269">
        <f>VLOOKUP($A8,'Dermal Crosswalk'!$A$3:$G$40,3,FALSE)</f>
        <v>1</v>
      </c>
      <c r="G8" s="269">
        <f>VLOOKUP($A8,'Dermal Crosswalk'!$A$3:$G$40,4,FALSE)</f>
        <v>1</v>
      </c>
      <c r="H8" s="269" t="str">
        <f>IF($D8="No Gloves",VLOOKUP($A8,'Dermal Crosswalk'!$A$3:$G$40,6,FALSE),VLOOKUP($A8,'Dermal Crosswalk'!$A$3:$G$40,7,FALSE))</f>
        <v>N/A</v>
      </c>
      <c r="I8" s="323">
        <f>VLOOKUP($A8,'Inhalation Exposure'!$C$5:$Z$65, MATCH('Dermal Exposure'!$E8, 'Inhalation Exposure'!$F$4:$G$4, 0)+3, FALSE)</f>
        <v>250</v>
      </c>
      <c r="J8" s="390">
        <v>1</v>
      </c>
      <c r="K8" s="326">
        <f>HLOOKUP($C7,'Exposure Factors'!$C$3:$D$9,MATCH($E8,'Exposure Factors'!$E$5:$E$6,0)+2,FALSE)</f>
        <v>535</v>
      </c>
      <c r="L8" s="270">
        <f>HLOOKUP($C8,'Exposure Factors'!$C$3:$D$9,2,FALSE)</f>
        <v>80</v>
      </c>
      <c r="M8" s="271">
        <v>1.4</v>
      </c>
      <c r="N8" s="272" t="str">
        <f t="shared" si="0"/>
        <v>Not Assessed</v>
      </c>
      <c r="O8" s="272" t="str">
        <f t="shared" si="1"/>
        <v>Not Assessed</v>
      </c>
      <c r="P8" s="273" t="str">
        <f>IFERROR($O8*$I8*HLOOKUP($C8,'Exposure Factors'!$C$3:$D$9,MATCH($E8,'Exposure Factors'!$E$7:$E$8,0)+4,FALSE)/(365*HLOOKUP($C8,'Exposure Factors'!$C$3:$D$9,MATCH($E8,'Exposure Factors'!$E$7:$E$8,0)+4,FALSE)),"Not Assessed")</f>
        <v>Not Assessed</v>
      </c>
      <c r="Q8" s="274" t="str">
        <f>IFERROR($O8*$I8*HLOOKUP($C8,'Exposure Factors'!$C$3:$D$9,MATCH($E8,'Exposure Factors'!$E$7:$E$8,0)+4,FALSE)/(365*HLOOKUP($C8,'Exposure Factors'!$C$3:$D$9,7,FALSE)),"Not Assessed")</f>
        <v>Not Assessed</v>
      </c>
    </row>
    <row r="9" spans="1:17" ht="15" thickBot="1" x14ac:dyDescent="0.4">
      <c r="A9" s="671" t="s">
        <v>309</v>
      </c>
      <c r="B9" s="672"/>
      <c r="C9" s="672"/>
      <c r="D9" s="672"/>
      <c r="E9" s="672"/>
      <c r="F9" s="673"/>
      <c r="G9" s="275"/>
      <c r="H9" s="275"/>
      <c r="I9" s="275"/>
      <c r="J9" s="403"/>
      <c r="K9" s="275"/>
      <c r="L9" s="275"/>
      <c r="M9" s="275"/>
      <c r="N9" s="275"/>
      <c r="O9" s="275"/>
      <c r="P9" s="275"/>
      <c r="Q9" s="276"/>
    </row>
    <row r="10" spans="1:17" ht="29" x14ac:dyDescent="0.35">
      <c r="A10" s="250" t="str">
        <f>RR!$H$4</f>
        <v>Processing as Reactant/Intermediate - 8-hr TWA</v>
      </c>
      <c r="B10" s="251" t="str">
        <f>VLOOKUP($A10, 'Dermal Crosswalk'!$A$3:$G$40, 2, FALSE)</f>
        <v>Processing as Reactant/Intermediate - 8-hr TWA</v>
      </c>
      <c r="C10" s="251" t="str">
        <f>RR!$R$4</f>
        <v>Average Adult Worker</v>
      </c>
      <c r="D10" s="251" t="s">
        <v>119</v>
      </c>
      <c r="E10" s="251" t="s">
        <v>32</v>
      </c>
      <c r="F10" s="253">
        <f>VLOOKUP($A10,'Dermal Crosswalk'!$A$3:$G$40,3,FALSE)</f>
        <v>1</v>
      </c>
      <c r="G10" s="253">
        <f>VLOOKUP($A10,'Dermal Crosswalk'!$A$3:$G$40,4,FALSE)</f>
        <v>1</v>
      </c>
      <c r="H10" s="253">
        <f>IF($D10="No Gloves",VLOOKUP($A10,'Dermal Crosswalk'!$A$3:$G$40,6,FALSE),VLOOKUP($A10,'Dermal Crosswalk'!$A$3:$G$40,7,FALSE))</f>
        <v>0.12573322115863617</v>
      </c>
      <c r="I10" s="321">
        <f>VLOOKUP($A10,'Inhalation Exposure'!$C$5:$Z$65, MATCH('Dermal Exposure'!$E10, 'Inhalation Exposure'!$F$4:$G$4, 0)+3, FALSE)</f>
        <v>250</v>
      </c>
      <c r="J10" s="395">
        <v>1</v>
      </c>
      <c r="K10" s="324">
        <f>HLOOKUP($C10,'Exposure Factors'!$C$3:$D$9,MATCH($E10,'Exposure Factors'!$E$5:$E$6,0)+2,FALSE)</f>
        <v>1070</v>
      </c>
      <c r="L10" s="252">
        <f>HLOOKUP($C10,'Exposure Factors'!$C$3:$D$9,2,FALSE)</f>
        <v>80</v>
      </c>
      <c r="M10" s="254">
        <v>2.1</v>
      </c>
      <c r="N10" s="255">
        <f>IFERROR(K10*M10*H10*G10*J10,"Not Assessed")</f>
        <v>282.52254794345549</v>
      </c>
      <c r="O10" s="255">
        <f>IFERROR($N10/L10,"Not Assessed")</f>
        <v>3.5315318492931937</v>
      </c>
      <c r="P10" s="256">
        <f>IFERROR($O10*$I10*HLOOKUP($C10,'Exposure Factors'!$C$3:$D$9,MATCH($E10,'Exposure Factors'!$E$7:$E$8,0)+4,FALSE)/(365*HLOOKUP($C10,'Exposure Factors'!$C$3:$D$9,MATCH($E10,'Exposure Factors'!$E$7:$E$8,0)+4,FALSE)),"Not Assessed")</f>
        <v>2.4188574310227358</v>
      </c>
      <c r="Q10" s="257">
        <f>IFERROR($O10*$I10*HLOOKUP($C10,'Exposure Factors'!$C$3:$D$9,MATCH($E10,'Exposure Factors'!$E$7:$E$8,0)+4,FALSE)/(365*HLOOKUP($C10,'Exposure Factors'!$C$3:$D$9,7,FALSE)),"Not Assessed")</f>
        <v>1.2404397082167875</v>
      </c>
    </row>
    <row r="11" spans="1:17" ht="29" x14ac:dyDescent="0.35">
      <c r="A11" s="258" t="str">
        <f>RR!$H$4</f>
        <v>Processing as Reactant/Intermediate - 8-hr TWA</v>
      </c>
      <c r="B11" s="306" t="str">
        <f>VLOOKUP($A11, 'Dermal Crosswalk'!$A$3:$G$40, 2, FALSE)</f>
        <v>Processing as Reactant/Intermediate - 8-hr TWA</v>
      </c>
      <c r="C11" s="259" t="str">
        <f>RR!$R$4</f>
        <v>Average Adult Worker</v>
      </c>
      <c r="D11" s="259" t="s">
        <v>119</v>
      </c>
      <c r="E11" s="259" t="s">
        <v>35</v>
      </c>
      <c r="F11" s="260">
        <f>VLOOKUP($A11,'Dermal Crosswalk'!$A$3:$G$40,3,FALSE)</f>
        <v>1</v>
      </c>
      <c r="G11" s="260">
        <f>VLOOKUP($A11,'Dermal Crosswalk'!$A$3:$G$40,4,FALSE)</f>
        <v>1</v>
      </c>
      <c r="H11" s="260">
        <f>IF($D11="No Gloves",VLOOKUP($A11,'Dermal Crosswalk'!$A$3:$G$40,6,FALSE),VLOOKUP($A11,'Dermal Crosswalk'!$A$3:$G$40,7,FALSE))</f>
        <v>0.12573322115863617</v>
      </c>
      <c r="I11" s="322">
        <f>VLOOKUP($A11,'Inhalation Exposure'!$C$5:$Z$65, MATCH('Dermal Exposure'!$E11, 'Inhalation Exposure'!$F$4:$G$4, 0)+3, FALSE)</f>
        <v>250</v>
      </c>
      <c r="J11" s="388">
        <v>1</v>
      </c>
      <c r="K11" s="325">
        <f>HLOOKUP($C10,'Exposure Factors'!$C$3:$D$9,MATCH($E11,'Exposure Factors'!$E$5:$E$6,0)+2,FALSE)</f>
        <v>535</v>
      </c>
      <c r="L11" s="261">
        <f>HLOOKUP($C11,'Exposure Factors'!$C$3:$D$9,2,FALSE)</f>
        <v>80</v>
      </c>
      <c r="M11" s="262">
        <v>1.4</v>
      </c>
      <c r="N11" s="263">
        <f>IFERROR(K11*M11*H11*G11*J11,"Not Assessed")</f>
        <v>94.174182647818483</v>
      </c>
      <c r="O11" s="263">
        <f t="shared" ref="O11:O13" si="2">IFERROR($N11/L11,"Not Assessed")</f>
        <v>1.177177283097731</v>
      </c>
      <c r="P11" s="264">
        <f>IFERROR($O11*$I11*HLOOKUP($C11,'Exposure Factors'!$C$3:$D$9,MATCH($E11,'Exposure Factors'!$E$7:$E$8,0)+4,FALSE)/(365*HLOOKUP($C11,'Exposure Factors'!$C$3:$D$9,MATCH($E11,'Exposure Factors'!$E$7:$E$8,0)+4,FALSE)),"Not Assessed")</f>
        <v>0.80628581034091162</v>
      </c>
      <c r="Q11" s="265">
        <f>IFERROR($O11*$I11*HLOOKUP($C11,'Exposure Factors'!$C$3:$D$9,MATCH($E11,'Exposure Factors'!$E$7:$E$8,0)+4,FALSE)/(365*HLOOKUP($C11,'Exposure Factors'!$C$3:$D$9,7,FALSE)),"Not Assessed")</f>
        <v>0.32044692462266999</v>
      </c>
    </row>
    <row r="12" spans="1:17" ht="29" x14ac:dyDescent="0.35">
      <c r="A12" s="258" t="str">
        <f>RR!$H$4</f>
        <v>Processing as Reactant/Intermediate - 8-hr TWA</v>
      </c>
      <c r="B12" s="259" t="str">
        <f>VLOOKUP($A12, 'Dermal Crosswalk'!$A$3:$G$40, 2, FALSE)</f>
        <v>Processing as Reactant/Intermediate - 8-hr TWA</v>
      </c>
      <c r="C12" s="259" t="str">
        <f>RR!$R$4</f>
        <v>Average Adult Worker</v>
      </c>
      <c r="D12" s="259" t="s">
        <v>120</v>
      </c>
      <c r="E12" s="259" t="s">
        <v>32</v>
      </c>
      <c r="F12" s="260">
        <f>VLOOKUP($A12,'Dermal Crosswalk'!$A$3:$G$40,3,FALSE)</f>
        <v>1</v>
      </c>
      <c r="G12" s="260">
        <f>VLOOKUP($A12,'Dermal Crosswalk'!$A$3:$G$40,4,FALSE)</f>
        <v>1</v>
      </c>
      <c r="H12" s="260" t="str">
        <f>IF($D12="No Gloves",VLOOKUP($A12,'Dermal Crosswalk'!$A$3:$G$40,6,FALSE),VLOOKUP($A12,'Dermal Crosswalk'!$A$3:$G$40,7,FALSE))</f>
        <v>N/A</v>
      </c>
      <c r="I12" s="322">
        <f>VLOOKUP($A12,'Inhalation Exposure'!$C$5:$Z$65, MATCH('Dermal Exposure'!$E12, 'Inhalation Exposure'!$F$4:$G$4, 0)+3, FALSE)</f>
        <v>250</v>
      </c>
      <c r="J12" s="388">
        <v>1</v>
      </c>
      <c r="K12" s="325">
        <f>HLOOKUP($C11,'Exposure Factors'!$C$3:$D$9,MATCH($E12,'Exposure Factors'!$E$5:$E$6,0)+2,FALSE)</f>
        <v>1070</v>
      </c>
      <c r="L12" s="261">
        <f>HLOOKUP($C12,'Exposure Factors'!$C$3:$D$9,2,FALSE)</f>
        <v>80</v>
      </c>
      <c r="M12" s="262">
        <v>2.1</v>
      </c>
      <c r="N12" s="263" t="str">
        <f t="shared" ref="N12:N13" si="3">IFERROR(K12*M12*H12*G12*J12,"Not Assessed")</f>
        <v>Not Assessed</v>
      </c>
      <c r="O12" s="263" t="str">
        <f t="shared" si="2"/>
        <v>Not Assessed</v>
      </c>
      <c r="P12" s="266" t="str">
        <f>IFERROR($O12*$I12*HLOOKUP($C12,'Exposure Factors'!$C$3:$D$9,MATCH($E12,'Exposure Factors'!$E$7:$E$8,0)+4,FALSE)/(365*HLOOKUP($C12,'Exposure Factors'!$C$3:$D$9,MATCH($E12,'Exposure Factors'!$E$7:$E$8,0)+4,FALSE)),"Not Assessed")</f>
        <v>Not Assessed</v>
      </c>
      <c r="Q12" s="265" t="str">
        <f>IFERROR($O12*$I12*HLOOKUP($C12,'Exposure Factors'!$C$3:$D$9,MATCH($E12,'Exposure Factors'!$E$7:$E$8,0)+4,FALSE)/(365*HLOOKUP($C12,'Exposure Factors'!$C$3:$D$9,7,FALSE)),"Not Assessed")</f>
        <v>Not Assessed</v>
      </c>
    </row>
    <row r="13" spans="1:17" ht="29.5" thickBot="1" x14ac:dyDescent="0.4">
      <c r="A13" s="267" t="str">
        <f>RR!$H$4</f>
        <v>Processing as Reactant/Intermediate - 8-hr TWA</v>
      </c>
      <c r="B13" s="268" t="str">
        <f>VLOOKUP($A13, 'Dermal Crosswalk'!$A$3:$G$40, 2, FALSE)</f>
        <v>Processing as Reactant/Intermediate - 8-hr TWA</v>
      </c>
      <c r="C13" s="268" t="str">
        <f>RR!$R$4</f>
        <v>Average Adult Worker</v>
      </c>
      <c r="D13" s="268" t="s">
        <v>120</v>
      </c>
      <c r="E13" s="268" t="s">
        <v>35</v>
      </c>
      <c r="F13" s="269">
        <f>VLOOKUP($A13,'Dermal Crosswalk'!$A$3:$G$40,3,FALSE)</f>
        <v>1</v>
      </c>
      <c r="G13" s="269">
        <f>VLOOKUP($A13,'Dermal Crosswalk'!$A$3:$G$40,4,FALSE)</f>
        <v>1</v>
      </c>
      <c r="H13" s="269" t="str">
        <f>IF($D13="No Gloves",VLOOKUP($A13,'Dermal Crosswalk'!$A$3:$G$40,6,FALSE),VLOOKUP($A13,'Dermal Crosswalk'!$A$3:$G$40,7,FALSE))</f>
        <v>N/A</v>
      </c>
      <c r="I13" s="323">
        <f>VLOOKUP($A13,'Inhalation Exposure'!$C$5:$Z$65, MATCH('Dermal Exposure'!$E13, 'Inhalation Exposure'!$F$4:$G$4, 0)+3, FALSE)</f>
        <v>250</v>
      </c>
      <c r="J13" s="390">
        <v>1</v>
      </c>
      <c r="K13" s="326">
        <f>HLOOKUP($C12,'Exposure Factors'!$C$3:$D$9,MATCH($E13,'Exposure Factors'!$E$5:$E$6,0)+2,FALSE)</f>
        <v>535</v>
      </c>
      <c r="L13" s="270">
        <f>HLOOKUP($C13,'Exposure Factors'!$C$3:$D$9,2,FALSE)</f>
        <v>80</v>
      </c>
      <c r="M13" s="271">
        <v>1.4</v>
      </c>
      <c r="N13" s="272" t="str">
        <f t="shared" si="3"/>
        <v>Not Assessed</v>
      </c>
      <c r="O13" s="272" t="str">
        <f t="shared" si="2"/>
        <v>Not Assessed</v>
      </c>
      <c r="P13" s="273" t="str">
        <f>IFERROR($O13*$I13*HLOOKUP($C13,'Exposure Factors'!$C$3:$D$9,MATCH($E13,'Exposure Factors'!$E$7:$E$8,0)+4,FALSE)/(365*HLOOKUP($C13,'Exposure Factors'!$C$3:$D$9,MATCH($E13,'Exposure Factors'!$E$7:$E$8,0)+4,FALSE)),"Not Assessed")</f>
        <v>Not Assessed</v>
      </c>
      <c r="Q13" s="274" t="str">
        <f>IFERROR($O13*$I13*HLOOKUP($C13,'Exposure Factors'!$C$3:$D$9,MATCH($E13,'Exposure Factors'!$E$7:$E$8,0)+4,FALSE)/(365*HLOOKUP($C13,'Exposure Factors'!$C$3:$D$9,7,FALSE)),"Not Assessed")</f>
        <v>Not Assessed</v>
      </c>
    </row>
  </sheetData>
  <sheetProtection algorithmName="SHA-512" hashValue="jQXWy3eLT0jm86r3O/RU6Bky8q67HYXpLpsarLUxy+xpbU30ayoL6zkLh7hV4m3SAmKElAwHuhgf/B4WHfcHdg==" saltValue="C6Cje3/zd104VpVDyA6sdg==" spinCount="100000" sheet="1" objects="1" scenarios="1"/>
  <mergeCells count="17">
    <mergeCell ref="P2:P3"/>
    <mergeCell ref="Q2:Q3"/>
    <mergeCell ref="A1:F1"/>
    <mergeCell ref="G1:M1"/>
    <mergeCell ref="N1:Q1"/>
    <mergeCell ref="D2:D4"/>
    <mergeCell ref="E2:E4"/>
    <mergeCell ref="G2:G4"/>
    <mergeCell ref="H2:H4"/>
    <mergeCell ref="I2:I4"/>
    <mergeCell ref="J2:J4"/>
    <mergeCell ref="K2:K4"/>
    <mergeCell ref="A9:F9"/>
    <mergeCell ref="L2:L4"/>
    <mergeCell ref="M2:M4"/>
    <mergeCell ref="N2:N3"/>
    <mergeCell ref="O2:O3"/>
  </mergeCells>
  <conditionalFormatting sqref="P5:Q8">
    <cfRule type="cellIs" dxfId="3" priority="9" operator="lessThanOrEqual">
      <formula>0.01</formula>
    </cfRule>
    <cfRule type="cellIs" dxfId="2" priority="10" operator="greaterThan">
      <formula>0.01</formula>
    </cfRule>
  </conditionalFormatting>
  <conditionalFormatting sqref="P10:Q13">
    <cfRule type="cellIs" dxfId="1" priority="1" operator="lessThanOrEqual">
      <formula>0.01</formula>
    </cfRule>
    <cfRule type="cellIs" dxfId="0" priority="2" operator="greaterThan">
      <formula>0.01</formula>
    </cfRule>
  </conditionalFormatting>
  <dataValidations disablePrompts="1" count="1">
    <dataValidation allowBlank="1" showErrorMessage="1" sqref="N2 N4" xr:uid="{0CF85D69-3ADF-447F-AC79-AF0AA7F7BD37}"/>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41240-2A0D-4766-9250-85744E11E255}">
  <sheetPr codeName="Sheet8">
    <tabColor theme="1"/>
  </sheetPr>
  <dimension ref="B1:G21"/>
  <sheetViews>
    <sheetView workbookViewId="0">
      <selection activeCell="B1" sqref="B1"/>
    </sheetView>
  </sheetViews>
  <sheetFormatPr defaultColWidth="9.1796875" defaultRowHeight="14.5" x14ac:dyDescent="0.35"/>
  <cols>
    <col min="1" max="1" width="4.7265625" style="2" customWidth="1"/>
    <col min="2" max="2" width="35.54296875" style="2" customWidth="1"/>
    <col min="3" max="3" width="10.453125" style="2" customWidth="1"/>
    <col min="4" max="4" width="13.26953125" style="2" customWidth="1"/>
    <col min="5" max="5" width="16.54296875" style="2" bestFit="1" customWidth="1"/>
    <col min="6" max="16384" width="9.1796875" style="2"/>
  </cols>
  <sheetData>
    <row r="1" spans="2:7" ht="18.5" x14ac:dyDescent="0.45">
      <c r="B1" s="1" t="s">
        <v>395</v>
      </c>
    </row>
    <row r="2" spans="2:7" ht="15" thickBot="1" x14ac:dyDescent="0.4"/>
    <row r="3" spans="2:7" ht="44" thickBot="1" x14ac:dyDescent="0.4">
      <c r="C3" s="155" t="s">
        <v>11</v>
      </c>
      <c r="D3" s="112" t="s">
        <v>396</v>
      </c>
      <c r="E3" s="112" t="s">
        <v>397</v>
      </c>
      <c r="G3" s="70"/>
    </row>
    <row r="4" spans="2:7" x14ac:dyDescent="0.35">
      <c r="B4" s="156" t="s">
        <v>398</v>
      </c>
      <c r="C4" s="157">
        <v>80</v>
      </c>
      <c r="D4" s="158">
        <f>AVERAGE(65.9,71.9,74.8,77.1)</f>
        <v>72.425000000000011</v>
      </c>
      <c r="E4" s="159"/>
      <c r="G4" s="70"/>
    </row>
    <row r="5" spans="2:7" ht="16.5" x14ac:dyDescent="0.35">
      <c r="B5" s="77" t="s">
        <v>399</v>
      </c>
      <c r="C5" s="80">
        <v>1070</v>
      </c>
      <c r="D5" s="114">
        <v>890</v>
      </c>
      <c r="E5" s="113" t="s">
        <v>32</v>
      </c>
      <c r="G5" s="70"/>
    </row>
    <row r="6" spans="2:7" ht="31" x14ac:dyDescent="0.35">
      <c r="B6" s="77" t="s">
        <v>400</v>
      </c>
      <c r="C6" s="80">
        <f>C5/2</f>
        <v>535</v>
      </c>
      <c r="D6" s="80">
        <f>D5/2</f>
        <v>445</v>
      </c>
      <c r="E6" s="113" t="s">
        <v>35</v>
      </c>
      <c r="G6" s="70"/>
    </row>
    <row r="7" spans="2:7" ht="17.25" customHeight="1" x14ac:dyDescent="0.35">
      <c r="B7" s="77" t="s">
        <v>401</v>
      </c>
      <c r="C7" s="79">
        <v>40</v>
      </c>
      <c r="D7" s="115">
        <v>40</v>
      </c>
      <c r="E7" s="113" t="s">
        <v>32</v>
      </c>
    </row>
    <row r="8" spans="2:7" x14ac:dyDescent="0.35">
      <c r="B8" s="77" t="s">
        <v>402</v>
      </c>
      <c r="C8" s="79">
        <v>31</v>
      </c>
      <c r="D8" s="115">
        <v>31</v>
      </c>
      <c r="E8" s="113" t="s">
        <v>35</v>
      </c>
    </row>
    <row r="9" spans="2:7" ht="15" thickBot="1" x14ac:dyDescent="0.4">
      <c r="B9" s="78" t="s">
        <v>403</v>
      </c>
      <c r="C9" s="81">
        <v>78</v>
      </c>
      <c r="D9" s="116">
        <v>78</v>
      </c>
      <c r="E9" s="117"/>
    </row>
    <row r="10" spans="2:7" x14ac:dyDescent="0.35">
      <c r="B10" s="703"/>
      <c r="C10" s="703"/>
      <c r="D10" s="704"/>
      <c r="E10" s="704"/>
    </row>
    <row r="11" spans="2:7" x14ac:dyDescent="0.35">
      <c r="B11" s="502"/>
      <c r="C11" s="502"/>
      <c r="D11" s="502"/>
      <c r="E11" s="502"/>
    </row>
    <row r="12" spans="2:7" x14ac:dyDescent="0.35">
      <c r="B12" s="42" t="s">
        <v>404</v>
      </c>
    </row>
    <row r="13" spans="2:7" x14ac:dyDescent="0.35">
      <c r="B13" s="43" t="s">
        <v>405</v>
      </c>
    </row>
    <row r="14" spans="2:7" x14ac:dyDescent="0.35">
      <c r="B14" s="2" t="s">
        <v>406</v>
      </c>
    </row>
    <row r="15" spans="2:7" x14ac:dyDescent="0.35">
      <c r="B15" s="2" t="s">
        <v>407</v>
      </c>
    </row>
    <row r="16" spans="2:7" x14ac:dyDescent="0.35">
      <c r="B16" s="2" t="s">
        <v>408</v>
      </c>
    </row>
    <row r="17" spans="2:5" x14ac:dyDescent="0.35">
      <c r="B17" s="2" t="s">
        <v>409</v>
      </c>
    </row>
    <row r="18" spans="2:5" x14ac:dyDescent="0.35">
      <c r="B18" s="2" t="s">
        <v>410</v>
      </c>
    </row>
    <row r="21" spans="2:5" ht="78" customHeight="1" x14ac:dyDescent="0.35">
      <c r="B21" s="702" t="s">
        <v>411</v>
      </c>
      <c r="C21" s="702"/>
      <c r="D21" s="702"/>
      <c r="E21" s="702"/>
    </row>
  </sheetData>
  <sheetProtection algorithmName="SHA-512" hashValue="DcBoeht/EdlF63qLJ2yqzmFAQSGCmv0s0cXkRpRPskn/OngOkMu93kgm55lBMHIaiSoM1cx22cDIWAU1JfCimw==" saltValue="XSZApWS/I6ai7T09BdWOYQ==" spinCount="100000" sheet="1" objects="1" scenarios="1"/>
  <mergeCells count="2">
    <mergeCell ref="B21:E21"/>
    <mergeCell ref="B10:E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9850F-DA4A-4D3D-97A6-3832AB231949}">
  <sheetPr codeName="Sheet4">
    <tabColor theme="1"/>
  </sheetPr>
  <dimension ref="B2:S75"/>
  <sheetViews>
    <sheetView topLeftCell="A15" workbookViewId="0">
      <selection activeCell="F5" sqref="F5"/>
    </sheetView>
  </sheetViews>
  <sheetFormatPr defaultColWidth="8.81640625" defaultRowHeight="14.5" x14ac:dyDescent="0.35"/>
  <cols>
    <col min="1" max="1" width="3.54296875" style="2" customWidth="1"/>
    <col min="2" max="2" width="22.81640625" style="2" customWidth="1"/>
    <col min="3" max="3" width="8.453125" style="2" customWidth="1"/>
    <col min="4" max="4" width="30" style="2" customWidth="1"/>
    <col min="5" max="5" width="32.81640625" style="2" customWidth="1"/>
    <col min="6" max="6" width="23.54296875" style="2" customWidth="1"/>
    <col min="7" max="7" width="12.26953125" style="2" customWidth="1"/>
    <col min="8" max="8" width="11" style="2" customWidth="1"/>
    <col min="9" max="11" width="8.81640625" style="2"/>
    <col min="12" max="12" width="12.81640625" style="2" customWidth="1"/>
    <col min="13" max="13" width="14.7265625" style="2" bestFit="1" customWidth="1"/>
    <col min="14" max="15" width="11.26953125" style="2" customWidth="1"/>
    <col min="16" max="16" width="18.26953125" style="2" customWidth="1"/>
    <col min="17" max="17" width="25.81640625" style="2" customWidth="1"/>
    <col min="18" max="18" width="23.81640625" style="2" customWidth="1"/>
    <col min="19" max="19" width="18" style="2" customWidth="1"/>
    <col min="20" max="20" width="20.81640625" style="2" bestFit="1" customWidth="1"/>
    <col min="21" max="21" width="14.7265625" style="2" customWidth="1"/>
    <col min="22" max="22" width="6.54296875" style="2" customWidth="1"/>
    <col min="23" max="16384" width="8.81640625" style="2"/>
  </cols>
  <sheetData>
    <row r="2" spans="2:19" ht="18.5" x14ac:dyDescent="0.45">
      <c r="B2" s="1" t="s">
        <v>201</v>
      </c>
    </row>
    <row r="3" spans="2:19" ht="18.5" x14ac:dyDescent="0.45">
      <c r="B3" s="46"/>
      <c r="M3" s="107"/>
      <c r="N3" s="107"/>
    </row>
    <row r="4" spans="2:19" ht="30" customHeight="1" x14ac:dyDescent="0.35">
      <c r="B4" s="3"/>
      <c r="C4" s="4"/>
      <c r="D4" s="4"/>
      <c r="E4" s="4"/>
      <c r="F4" s="4"/>
      <c r="G4" s="711" t="s">
        <v>202</v>
      </c>
      <c r="H4" s="711"/>
      <c r="I4" s="711" t="s">
        <v>203</v>
      </c>
      <c r="J4" s="711"/>
      <c r="K4" s="711" t="s">
        <v>204</v>
      </c>
      <c r="L4" s="712"/>
      <c r="Q4" s="710" t="s">
        <v>205</v>
      </c>
      <c r="R4" s="711"/>
      <c r="S4" s="712"/>
    </row>
    <row r="5" spans="2:19" ht="29" x14ac:dyDescent="0.35">
      <c r="B5" s="6"/>
      <c r="C5" s="70"/>
      <c r="D5" s="340" t="s">
        <v>143</v>
      </c>
      <c r="E5" s="340" t="s">
        <v>144</v>
      </c>
      <c r="F5" s="340" t="s">
        <v>206</v>
      </c>
      <c r="G5" s="14" t="s">
        <v>207</v>
      </c>
      <c r="H5" s="14" t="s">
        <v>69</v>
      </c>
      <c r="I5" s="14" t="s">
        <v>207</v>
      </c>
      <c r="J5" s="14" t="s">
        <v>69</v>
      </c>
      <c r="K5" s="14" t="s">
        <v>207</v>
      </c>
      <c r="L5" s="12" t="s">
        <v>69</v>
      </c>
      <c r="Q5" s="13" t="s">
        <v>208</v>
      </c>
      <c r="R5" s="14" t="s">
        <v>209</v>
      </c>
      <c r="S5" s="12" t="s">
        <v>210</v>
      </c>
    </row>
    <row r="6" spans="2:19" x14ac:dyDescent="0.35">
      <c r="B6" s="198" t="s">
        <v>211</v>
      </c>
      <c r="C6" s="199"/>
      <c r="D6" s="495" t="s">
        <v>56</v>
      </c>
      <c r="E6" s="200" t="s">
        <v>212</v>
      </c>
      <c r="F6" s="200" t="s">
        <v>55</v>
      </c>
      <c r="G6" s="201">
        <v>240</v>
      </c>
      <c r="H6" s="202">
        <f>G6*$Q$14</f>
        <v>35.385635892178733</v>
      </c>
      <c r="I6" s="367">
        <v>1600</v>
      </c>
      <c r="J6" s="371">
        <f>I6*$Q$14</f>
        <v>235.90423928119156</v>
      </c>
      <c r="K6" s="203">
        <v>11000</v>
      </c>
      <c r="L6" s="366">
        <f>K6*$Q$14</f>
        <v>1621.8416450581919</v>
      </c>
      <c r="Q6" s="6"/>
      <c r="R6" s="2" t="s">
        <v>213</v>
      </c>
      <c r="S6" s="7">
        <f>0.000001</f>
        <v>9.9999999999999995E-7</v>
      </c>
    </row>
    <row r="7" spans="2:19" x14ac:dyDescent="0.35">
      <c r="B7" s="205"/>
      <c r="C7" s="354"/>
      <c r="D7" s="496" t="s">
        <v>59</v>
      </c>
      <c r="E7" s="355" t="s">
        <v>212</v>
      </c>
      <c r="F7" s="496" t="s">
        <v>58</v>
      </c>
      <c r="G7" s="356">
        <v>240</v>
      </c>
      <c r="H7" s="357">
        <f>G7*$Q$14</f>
        <v>35.385635892178733</v>
      </c>
      <c r="I7" s="368">
        <v>1600</v>
      </c>
      <c r="J7" s="372">
        <f t="shared" ref="J7:J10" si="0">I7*$Q$14</f>
        <v>235.90423928119156</v>
      </c>
      <c r="K7" s="329">
        <v>11000</v>
      </c>
      <c r="L7" s="375">
        <f t="shared" ref="L7:L10" si="1">K7*$Q$14</f>
        <v>1621.8416450581919</v>
      </c>
      <c r="Q7" s="6"/>
      <c r="R7" s="2" t="s">
        <v>214</v>
      </c>
      <c r="S7" s="7">
        <f>0.00001</f>
        <v>1.0000000000000001E-5</v>
      </c>
    </row>
    <row r="8" spans="2:19" x14ac:dyDescent="0.35">
      <c r="B8" s="205"/>
      <c r="C8" s="354"/>
      <c r="D8" s="496" t="s">
        <v>61</v>
      </c>
      <c r="E8" s="355" t="s">
        <v>212</v>
      </c>
      <c r="F8" s="496" t="s">
        <v>60</v>
      </c>
      <c r="G8" s="356">
        <v>240</v>
      </c>
      <c r="H8" s="357">
        <f>G8*$Q$14</f>
        <v>35.385635892178733</v>
      </c>
      <c r="I8" s="368">
        <v>1600</v>
      </c>
      <c r="J8" s="372">
        <f t="shared" si="0"/>
        <v>235.90423928119156</v>
      </c>
      <c r="K8" s="329">
        <v>8100</v>
      </c>
      <c r="L8" s="375">
        <f t="shared" si="1"/>
        <v>1194.2652113610322</v>
      </c>
      <c r="O8" s="41"/>
      <c r="P8" s="119"/>
      <c r="Q8" s="6" t="s">
        <v>215</v>
      </c>
      <c r="R8" s="2" t="s">
        <v>216</v>
      </c>
      <c r="S8" s="7">
        <f>0.0001</f>
        <v>1E-4</v>
      </c>
    </row>
    <row r="9" spans="2:19" ht="15" customHeight="1" x14ac:dyDescent="0.35">
      <c r="B9" s="209"/>
      <c r="C9" s="354"/>
      <c r="D9" s="496" t="s">
        <v>63</v>
      </c>
      <c r="E9" s="355" t="s">
        <v>212</v>
      </c>
      <c r="F9" s="496" t="s">
        <v>62</v>
      </c>
      <c r="G9" s="356">
        <v>240</v>
      </c>
      <c r="H9" s="357">
        <f>G9*$Q$14</f>
        <v>35.385635892178733</v>
      </c>
      <c r="I9" s="368">
        <v>810</v>
      </c>
      <c r="J9" s="372">
        <f t="shared" si="0"/>
        <v>119.42652113610322</v>
      </c>
      <c r="K9" s="329">
        <v>3900</v>
      </c>
      <c r="L9" s="373">
        <f t="shared" si="1"/>
        <v>575.01658324790446</v>
      </c>
      <c r="O9" s="41"/>
      <c r="P9" s="119"/>
      <c r="Q9" s="6"/>
      <c r="R9" s="2" t="s">
        <v>217</v>
      </c>
      <c r="S9" s="8"/>
    </row>
    <row r="10" spans="2:19" x14ac:dyDescent="0.35">
      <c r="B10" s="365"/>
      <c r="C10" s="359"/>
      <c r="D10" s="360" t="s">
        <v>65</v>
      </c>
      <c r="E10" s="361" t="s">
        <v>212</v>
      </c>
      <c r="F10" s="360" t="s">
        <v>64</v>
      </c>
      <c r="G10" s="362">
        <v>240</v>
      </c>
      <c r="H10" s="363">
        <f>G10*$Q$14</f>
        <v>35.385635892178733</v>
      </c>
      <c r="I10" s="369">
        <v>550</v>
      </c>
      <c r="J10" s="370">
        <f t="shared" si="0"/>
        <v>81.092082252909591</v>
      </c>
      <c r="K10" s="364">
        <v>2800</v>
      </c>
      <c r="L10" s="374">
        <f t="shared" si="1"/>
        <v>412.83241874208522</v>
      </c>
      <c r="O10" s="41"/>
      <c r="P10" s="119"/>
      <c r="Q10" s="6"/>
      <c r="R10" s="2" t="s">
        <v>218</v>
      </c>
      <c r="S10" s="8"/>
    </row>
    <row r="11" spans="2:19" x14ac:dyDescent="0.35">
      <c r="O11" s="41"/>
      <c r="P11" s="119"/>
      <c r="Q11" s="6"/>
      <c r="R11" s="2" t="s">
        <v>219</v>
      </c>
      <c r="S11" s="8"/>
    </row>
    <row r="12" spans="2:19" x14ac:dyDescent="0.35">
      <c r="G12" s="315"/>
      <c r="H12" s="713" t="s">
        <v>12</v>
      </c>
      <c r="I12" s="713"/>
      <c r="J12" s="315" t="s">
        <v>3</v>
      </c>
      <c r="K12" s="315"/>
      <c r="L12" s="315"/>
      <c r="O12" s="41"/>
      <c r="Q12" s="9"/>
      <c r="R12" s="10" t="s">
        <v>220</v>
      </c>
      <c r="S12" s="11"/>
    </row>
    <row r="13" spans="2:19" x14ac:dyDescent="0.35">
      <c r="B13" s="3"/>
      <c r="C13" s="4"/>
      <c r="D13" s="4"/>
      <c r="E13" s="5"/>
      <c r="F13" s="5"/>
      <c r="G13" s="5"/>
      <c r="H13" s="709" t="s">
        <v>221</v>
      </c>
      <c r="I13" s="709"/>
      <c r="J13" s="709"/>
      <c r="K13" s="709"/>
      <c r="L13" s="709"/>
      <c r="M13" s="709" t="s">
        <v>222</v>
      </c>
      <c r="N13" s="714"/>
      <c r="Q13" s="222" t="s">
        <v>223</v>
      </c>
    </row>
    <row r="14" spans="2:19" ht="43.5" x14ac:dyDescent="0.35">
      <c r="B14" s="358"/>
      <c r="C14" s="340"/>
      <c r="D14" s="340" t="s">
        <v>143</v>
      </c>
      <c r="E14" s="340"/>
      <c r="F14" s="340" t="s">
        <v>144</v>
      </c>
      <c r="G14" s="340" t="s">
        <v>206</v>
      </c>
      <c r="H14" s="14" t="s">
        <v>207</v>
      </c>
      <c r="I14" s="14" t="s">
        <v>69</v>
      </c>
      <c r="J14" s="14" t="s">
        <v>224</v>
      </c>
      <c r="K14" s="14"/>
      <c r="L14" s="14" t="s">
        <v>225</v>
      </c>
      <c r="M14" s="14" t="s">
        <v>226</v>
      </c>
      <c r="N14" s="12" t="s">
        <v>227</v>
      </c>
      <c r="Q14" s="220">
        <f>24.45/165.83</f>
        <v>0.14744014955074472</v>
      </c>
      <c r="R14" s="221" t="s">
        <v>228</v>
      </c>
    </row>
    <row r="15" spans="2:19" ht="30" customHeight="1" x14ac:dyDescent="0.35">
      <c r="B15" s="423"/>
      <c r="C15" s="424"/>
      <c r="D15" s="497" t="s">
        <v>229</v>
      </c>
      <c r="E15" s="705" t="s">
        <v>230</v>
      </c>
      <c r="F15" s="705" t="s">
        <v>158</v>
      </c>
      <c r="G15" s="497" t="s">
        <v>231</v>
      </c>
      <c r="H15" s="418">
        <f>I15/Q14</f>
        <v>33.912065439672809</v>
      </c>
      <c r="I15" s="418">
        <v>5</v>
      </c>
      <c r="J15" s="435">
        <v>4.25</v>
      </c>
      <c r="K15" s="425"/>
      <c r="L15" s="15">
        <v>10</v>
      </c>
      <c r="M15" s="425"/>
      <c r="N15" s="426"/>
      <c r="Q15" s="220"/>
      <c r="R15" s="221"/>
    </row>
    <row r="16" spans="2:19" x14ac:dyDescent="0.35">
      <c r="B16" s="45" t="s">
        <v>155</v>
      </c>
      <c r="C16" s="16"/>
      <c r="D16" s="497" t="s">
        <v>232</v>
      </c>
      <c r="E16" s="706"/>
      <c r="F16" s="707"/>
      <c r="G16" s="497" t="s">
        <v>233</v>
      </c>
      <c r="H16" s="418">
        <f>I16/Q14</f>
        <v>22.381963190184052</v>
      </c>
      <c r="I16" s="454">
        <v>3.3</v>
      </c>
      <c r="J16" s="435">
        <f>+J15</f>
        <v>4.25</v>
      </c>
      <c r="K16" s="425"/>
      <c r="L16" s="15">
        <v>10</v>
      </c>
      <c r="M16" s="329"/>
      <c r="N16" s="208"/>
      <c r="Q16" s="220" t="s">
        <v>234</v>
      </c>
      <c r="R16" s="221">
        <v>165.83</v>
      </c>
      <c r="S16" s="2" t="s">
        <v>235</v>
      </c>
    </row>
    <row r="17" spans="2:19" x14ac:dyDescent="0.35">
      <c r="B17" s="45"/>
      <c r="C17" s="16"/>
      <c r="D17" s="497"/>
      <c r="E17" s="210"/>
      <c r="F17" s="210"/>
      <c r="G17" s="211"/>
      <c r="H17" s="168"/>
      <c r="I17" s="422"/>
      <c r="J17" s="436"/>
      <c r="K17" s="318"/>
      <c r="L17" s="168"/>
      <c r="M17" s="212"/>
      <c r="N17" s="213"/>
      <c r="Q17" s="220" t="s">
        <v>236</v>
      </c>
      <c r="R17" s="221">
        <v>0.10199999999999999</v>
      </c>
      <c r="S17" s="2" t="s">
        <v>237</v>
      </c>
    </row>
    <row r="18" spans="2:19" ht="45" customHeight="1" x14ac:dyDescent="0.35">
      <c r="B18" s="214" t="s">
        <v>159</v>
      </c>
      <c r="C18" s="215"/>
      <c r="D18" s="495" t="s">
        <v>160</v>
      </c>
      <c r="E18" s="495" t="s">
        <v>165</v>
      </c>
      <c r="F18" s="495" t="s">
        <v>166</v>
      </c>
      <c r="G18" s="497" t="s">
        <v>89</v>
      </c>
      <c r="H18" s="206">
        <f>AVERAGE(56,15)</f>
        <v>35.5</v>
      </c>
      <c r="I18" s="420">
        <f>ROUND(H18*$Q$14,1)</f>
        <v>5.2</v>
      </c>
      <c r="J18" s="25">
        <v>2.6</v>
      </c>
      <c r="K18" s="316"/>
      <c r="L18" s="201">
        <v>100</v>
      </c>
      <c r="M18" s="203" t="s">
        <v>238</v>
      </c>
      <c r="N18" s="204" t="s">
        <v>238</v>
      </c>
    </row>
    <row r="19" spans="2:19" ht="58" x14ac:dyDescent="0.35">
      <c r="B19" s="216"/>
      <c r="C19" s="206"/>
      <c r="D19" s="497" t="s">
        <v>160</v>
      </c>
      <c r="E19" s="497" t="s">
        <v>239</v>
      </c>
      <c r="F19" s="497" t="s">
        <v>162</v>
      </c>
      <c r="G19" s="497" t="s">
        <v>85</v>
      </c>
      <c r="H19" s="15">
        <v>56</v>
      </c>
      <c r="I19" s="421">
        <f>ROUND(H19*$Q$14,2)</f>
        <v>8.26</v>
      </c>
      <c r="J19" s="437">
        <v>9.6999999999999993</v>
      </c>
      <c r="K19" s="317"/>
      <c r="L19" s="15">
        <v>100</v>
      </c>
      <c r="M19" s="329" t="s">
        <v>238</v>
      </c>
      <c r="N19" s="208" t="s">
        <v>238</v>
      </c>
    </row>
    <row r="20" spans="2:19" ht="45" customHeight="1" x14ac:dyDescent="0.35">
      <c r="B20" s="216"/>
      <c r="C20" s="206"/>
      <c r="D20" s="496" t="s">
        <v>160</v>
      </c>
      <c r="E20" s="496" t="s">
        <v>163</v>
      </c>
      <c r="F20" s="496" t="s">
        <v>164</v>
      </c>
      <c r="G20" s="496" t="s">
        <v>87</v>
      </c>
      <c r="H20" s="459">
        <v>15</v>
      </c>
      <c r="I20" s="421">
        <f>ROUND(H20*$Q$14,2)</f>
        <v>2.21</v>
      </c>
      <c r="J20" s="437">
        <v>6.2</v>
      </c>
      <c r="K20" s="460"/>
      <c r="L20" s="459">
        <v>100</v>
      </c>
      <c r="M20" s="329" t="s">
        <v>238</v>
      </c>
      <c r="N20" s="208" t="s">
        <v>238</v>
      </c>
    </row>
    <row r="21" spans="2:19" ht="45" customHeight="1" x14ac:dyDescent="0.35">
      <c r="B21" s="216"/>
      <c r="C21" s="206"/>
      <c r="D21" s="496" t="s">
        <v>240</v>
      </c>
      <c r="E21" s="496" t="s">
        <v>241</v>
      </c>
      <c r="F21" s="496" t="s">
        <v>166</v>
      </c>
      <c r="G21" s="496" t="s">
        <v>242</v>
      </c>
      <c r="H21" s="462">
        <f>(42+156)/2</f>
        <v>99</v>
      </c>
      <c r="I21" s="421">
        <f>(23+6)/2</f>
        <v>14.5</v>
      </c>
      <c r="J21" s="437">
        <v>2.6</v>
      </c>
      <c r="K21" s="460"/>
      <c r="L21" s="459">
        <v>100</v>
      </c>
      <c r="M21" s="329"/>
      <c r="N21" s="208"/>
    </row>
    <row r="22" spans="2:19" ht="45" customHeight="1" x14ac:dyDescent="0.35">
      <c r="B22" s="216"/>
      <c r="C22" s="206"/>
      <c r="D22" s="496" t="s">
        <v>243</v>
      </c>
      <c r="E22" s="496" t="s">
        <v>241</v>
      </c>
      <c r="F22" s="496" t="s">
        <v>166</v>
      </c>
      <c r="G22" s="496" t="s">
        <v>244</v>
      </c>
      <c r="H22" s="461">
        <f>H21*8/12</f>
        <v>66</v>
      </c>
      <c r="I22" s="421">
        <f>I21*8/12</f>
        <v>9.6666666666666661</v>
      </c>
      <c r="J22" s="437">
        <v>2.6</v>
      </c>
      <c r="K22" s="460"/>
      <c r="L22" s="459">
        <v>100</v>
      </c>
      <c r="M22" s="329"/>
      <c r="N22" s="208"/>
    </row>
    <row r="23" spans="2:19" ht="29" x14ac:dyDescent="0.35">
      <c r="B23" s="216"/>
      <c r="C23" s="206"/>
      <c r="D23" s="497" t="s">
        <v>167</v>
      </c>
      <c r="E23" s="497" t="s">
        <v>168</v>
      </c>
      <c r="F23" s="497" t="s">
        <v>169</v>
      </c>
      <c r="G23" s="497" t="s">
        <v>93</v>
      </c>
      <c r="H23" s="15">
        <v>34</v>
      </c>
      <c r="I23" s="421">
        <f t="shared" ref="I23:I25" si="2">ROUND(H23*$Q$14,1)</f>
        <v>5</v>
      </c>
      <c r="J23" s="25">
        <v>5.4</v>
      </c>
      <c r="K23" s="317"/>
      <c r="L23" s="15">
        <v>100</v>
      </c>
      <c r="M23" s="329" t="s">
        <v>238</v>
      </c>
      <c r="N23" s="208" t="s">
        <v>238</v>
      </c>
    </row>
    <row r="24" spans="2:19" ht="45" customHeight="1" x14ac:dyDescent="0.35">
      <c r="B24" s="216"/>
      <c r="C24" s="206"/>
      <c r="D24" s="497" t="s">
        <v>167</v>
      </c>
      <c r="E24" s="497" t="s">
        <v>170</v>
      </c>
      <c r="F24" s="497" t="s">
        <v>171</v>
      </c>
      <c r="G24" s="497" t="s">
        <v>95</v>
      </c>
      <c r="H24" s="15">
        <v>61</v>
      </c>
      <c r="I24" s="421">
        <f t="shared" si="2"/>
        <v>9</v>
      </c>
      <c r="J24" s="25">
        <v>9.5</v>
      </c>
      <c r="K24" s="317"/>
      <c r="L24" s="15">
        <v>30</v>
      </c>
      <c r="M24" s="329" t="s">
        <v>238</v>
      </c>
      <c r="N24" s="208" t="s">
        <v>238</v>
      </c>
    </row>
    <row r="25" spans="2:19" ht="29" x14ac:dyDescent="0.35">
      <c r="B25" s="216"/>
      <c r="C25" s="206"/>
      <c r="D25" s="497" t="s">
        <v>167</v>
      </c>
      <c r="E25" s="497" t="s">
        <v>172</v>
      </c>
      <c r="F25" s="497" t="s">
        <v>171</v>
      </c>
      <c r="G25" s="497" t="s">
        <v>97</v>
      </c>
      <c r="H25" s="15">
        <v>14</v>
      </c>
      <c r="I25" s="421">
        <f t="shared" si="2"/>
        <v>2.1</v>
      </c>
      <c r="J25" s="25">
        <v>2.2000000000000002</v>
      </c>
      <c r="K25" s="317"/>
      <c r="L25" s="15">
        <v>30</v>
      </c>
      <c r="M25" s="329" t="s">
        <v>238</v>
      </c>
      <c r="N25" s="208" t="s">
        <v>238</v>
      </c>
    </row>
    <row r="26" spans="2:19" x14ac:dyDescent="0.35">
      <c r="B26" s="216"/>
      <c r="C26" s="206"/>
      <c r="D26" s="497" t="s">
        <v>173</v>
      </c>
      <c r="E26" s="497" t="s">
        <v>174</v>
      </c>
      <c r="F26" s="497" t="s">
        <v>171</v>
      </c>
      <c r="G26" s="497" t="s">
        <v>99</v>
      </c>
      <c r="H26" s="15">
        <v>210</v>
      </c>
      <c r="I26" s="418">
        <f>ROUND(H26*$Q$14,0)</f>
        <v>31</v>
      </c>
      <c r="J26" s="25">
        <v>24.5</v>
      </c>
      <c r="K26" s="317"/>
      <c r="L26" s="15">
        <v>30</v>
      </c>
      <c r="M26" s="329" t="s">
        <v>238</v>
      </c>
      <c r="N26" s="208" t="s">
        <v>238</v>
      </c>
      <c r="Q26" s="708"/>
      <c r="R26" s="708"/>
    </row>
    <row r="27" spans="2:19" ht="29" x14ac:dyDescent="0.35">
      <c r="B27" s="216"/>
      <c r="C27" s="206"/>
      <c r="D27" s="497" t="s">
        <v>173</v>
      </c>
      <c r="E27" s="497" t="s">
        <v>175</v>
      </c>
      <c r="F27" s="497" t="s">
        <v>176</v>
      </c>
      <c r="G27" s="497" t="s">
        <v>101</v>
      </c>
      <c r="H27" s="15">
        <v>2100</v>
      </c>
      <c r="I27" s="418">
        <f>ROUND(H27*$Q$14,0)</f>
        <v>310</v>
      </c>
      <c r="J27" s="25">
        <v>252</v>
      </c>
      <c r="K27" s="317"/>
      <c r="L27" s="15">
        <v>300</v>
      </c>
      <c r="M27" s="329" t="s">
        <v>238</v>
      </c>
      <c r="N27" s="208" t="s">
        <v>238</v>
      </c>
      <c r="Q27" s="368"/>
      <c r="R27" s="404"/>
    </row>
    <row r="28" spans="2:19" ht="29" x14ac:dyDescent="0.35">
      <c r="B28" s="216"/>
      <c r="D28" s="497" t="s">
        <v>173</v>
      </c>
      <c r="E28" s="497" t="s">
        <v>177</v>
      </c>
      <c r="F28" s="497" t="s">
        <v>178</v>
      </c>
      <c r="G28" s="497" t="s">
        <v>103</v>
      </c>
      <c r="H28" s="207">
        <v>270</v>
      </c>
      <c r="I28" s="419">
        <f>ROUND(H28*$Q$14,0)</f>
        <v>40</v>
      </c>
      <c r="J28" s="438">
        <v>32</v>
      </c>
      <c r="K28" s="319"/>
      <c r="L28" s="207">
        <v>300</v>
      </c>
      <c r="M28" s="329" t="s">
        <v>238</v>
      </c>
      <c r="N28" s="208" t="s">
        <v>238</v>
      </c>
      <c r="Q28" s="405"/>
      <c r="R28" s="406"/>
    </row>
    <row r="29" spans="2:19" ht="15" customHeight="1" x14ac:dyDescent="0.35">
      <c r="B29" s="216"/>
      <c r="D29" s="497" t="s">
        <v>179</v>
      </c>
      <c r="E29" s="497" t="s">
        <v>180</v>
      </c>
      <c r="F29" s="497" t="s">
        <v>181</v>
      </c>
      <c r="G29" s="497" t="s">
        <v>105</v>
      </c>
      <c r="H29" s="207">
        <v>43</v>
      </c>
      <c r="I29" s="419">
        <v>6.4</v>
      </c>
      <c r="J29" s="438">
        <v>6.8</v>
      </c>
      <c r="K29" s="319"/>
      <c r="L29" s="207">
        <v>100</v>
      </c>
      <c r="M29" s="329"/>
      <c r="N29" s="208"/>
      <c r="Q29" s="405"/>
      <c r="R29" s="406"/>
    </row>
    <row r="30" spans="2:19" ht="29" x14ac:dyDescent="0.35">
      <c r="B30" s="216"/>
      <c r="D30" s="497" t="s">
        <v>182</v>
      </c>
      <c r="E30" s="497" t="s">
        <v>183</v>
      </c>
      <c r="F30" s="497" t="s">
        <v>184</v>
      </c>
      <c r="G30" s="497" t="s">
        <v>107</v>
      </c>
      <c r="H30" s="15">
        <v>140</v>
      </c>
      <c r="I30" s="418">
        <f>ROUND(H30*$Q$14,0)</f>
        <v>21</v>
      </c>
      <c r="J30" s="25">
        <v>22</v>
      </c>
      <c r="K30" s="319"/>
      <c r="L30" s="207">
        <v>30</v>
      </c>
      <c r="M30" s="329" t="s">
        <v>238</v>
      </c>
      <c r="N30" s="208" t="s">
        <v>238</v>
      </c>
      <c r="Q30" s="407"/>
      <c r="R30" s="335"/>
    </row>
    <row r="31" spans="2:19" ht="29" x14ac:dyDescent="0.35">
      <c r="B31" s="216"/>
      <c r="D31" s="497" t="s">
        <v>185</v>
      </c>
      <c r="E31" s="497" t="s">
        <v>186</v>
      </c>
      <c r="F31" s="497" t="s">
        <v>187</v>
      </c>
      <c r="G31" s="497" t="s">
        <v>109</v>
      </c>
      <c r="H31" s="207">
        <v>200</v>
      </c>
      <c r="I31" s="419">
        <f>ROUND(H31*$Q$14,0)</f>
        <v>29</v>
      </c>
      <c r="J31" s="438">
        <v>50</v>
      </c>
      <c r="K31" s="319"/>
      <c r="L31" s="207">
        <v>30</v>
      </c>
      <c r="M31" s="329" t="s">
        <v>238</v>
      </c>
      <c r="N31" s="208" t="s">
        <v>238</v>
      </c>
    </row>
    <row r="32" spans="2:19" ht="29" x14ac:dyDescent="0.35">
      <c r="B32" s="216"/>
      <c r="D32" s="497" t="s">
        <v>245</v>
      </c>
      <c r="E32" s="497" t="s">
        <v>188</v>
      </c>
      <c r="F32" s="497" t="s">
        <v>189</v>
      </c>
      <c r="G32" s="497" t="s">
        <v>111</v>
      </c>
      <c r="H32" s="207">
        <v>122</v>
      </c>
      <c r="I32" s="419">
        <v>18</v>
      </c>
      <c r="J32" s="438">
        <v>31</v>
      </c>
      <c r="K32" s="319"/>
      <c r="L32" s="207">
        <v>30</v>
      </c>
      <c r="M32" s="329"/>
      <c r="N32" s="208"/>
    </row>
    <row r="33" spans="2:14" ht="29" x14ac:dyDescent="0.35">
      <c r="B33" s="216"/>
      <c r="D33" s="497" t="s">
        <v>246</v>
      </c>
      <c r="E33" s="497" t="s">
        <v>190</v>
      </c>
      <c r="F33" s="497" t="s">
        <v>191</v>
      </c>
      <c r="G33" s="497" t="s">
        <v>113</v>
      </c>
      <c r="H33" s="15">
        <v>110</v>
      </c>
      <c r="I33" s="418">
        <v>16</v>
      </c>
      <c r="J33" s="25">
        <v>28</v>
      </c>
      <c r="K33" s="317"/>
      <c r="L33" s="15">
        <v>30</v>
      </c>
      <c r="M33" s="329" t="s">
        <v>238</v>
      </c>
      <c r="N33" s="208" t="s">
        <v>238</v>
      </c>
    </row>
    <row r="34" spans="2:14" x14ac:dyDescent="0.35">
      <c r="B34" s="217" t="s">
        <v>192</v>
      </c>
      <c r="C34" s="218"/>
      <c r="D34" s="218" t="s">
        <v>193</v>
      </c>
      <c r="E34" s="218" t="s">
        <v>194</v>
      </c>
      <c r="F34" s="218" t="s">
        <v>247</v>
      </c>
      <c r="G34" s="218" t="s">
        <v>126</v>
      </c>
      <c r="H34" s="219" t="s">
        <v>238</v>
      </c>
      <c r="I34" s="219" t="s">
        <v>238</v>
      </c>
      <c r="J34" s="439" t="s">
        <v>238</v>
      </c>
      <c r="K34" s="320" t="s">
        <v>238</v>
      </c>
      <c r="L34" s="219" t="s">
        <v>238</v>
      </c>
      <c r="M34" s="330">
        <v>2E-3</v>
      </c>
      <c r="N34" s="440">
        <v>2E-3</v>
      </c>
    </row>
    <row r="35" spans="2:14" x14ac:dyDescent="0.35">
      <c r="N35" s="70"/>
    </row>
    <row r="36" spans="2:14" x14ac:dyDescent="0.35">
      <c r="N36" s="70"/>
    </row>
    <row r="37" spans="2:14" x14ac:dyDescent="0.35">
      <c r="N37" s="70"/>
    </row>
    <row r="38" spans="2:14" x14ac:dyDescent="0.35">
      <c r="N38" s="70"/>
    </row>
    <row r="39" spans="2:14" x14ac:dyDescent="0.35">
      <c r="N39" s="70"/>
    </row>
    <row r="40" spans="2:14" x14ac:dyDescent="0.35">
      <c r="N40" s="70"/>
    </row>
    <row r="41" spans="2:14" x14ac:dyDescent="0.35">
      <c r="N41" s="70"/>
    </row>
    <row r="42" spans="2:14" x14ac:dyDescent="0.35">
      <c r="N42" s="70"/>
    </row>
    <row r="43" spans="2:14" x14ac:dyDescent="0.35">
      <c r="N43" s="70"/>
    </row>
    <row r="44" spans="2:14" x14ac:dyDescent="0.35">
      <c r="N44" s="70"/>
    </row>
    <row r="45" spans="2:14" x14ac:dyDescent="0.35">
      <c r="N45" s="70"/>
    </row>
    <row r="46" spans="2:14" x14ac:dyDescent="0.35">
      <c r="N46" s="70"/>
    </row>
    <row r="47" spans="2:14" x14ac:dyDescent="0.35">
      <c r="N47" s="70"/>
    </row>
    <row r="48" spans="2:14" x14ac:dyDescent="0.35">
      <c r="N48" s="70"/>
    </row>
    <row r="49" spans="14:14" x14ac:dyDescent="0.35">
      <c r="N49" s="70"/>
    </row>
    <row r="50" spans="14:14" x14ac:dyDescent="0.35">
      <c r="N50" s="70"/>
    </row>
    <row r="51" spans="14:14" x14ac:dyDescent="0.35">
      <c r="N51" s="70"/>
    </row>
    <row r="52" spans="14:14" x14ac:dyDescent="0.35">
      <c r="N52" s="70"/>
    </row>
    <row r="53" spans="14:14" x14ac:dyDescent="0.35">
      <c r="N53" s="70"/>
    </row>
    <row r="54" spans="14:14" x14ac:dyDescent="0.35">
      <c r="N54" s="70"/>
    </row>
    <row r="55" spans="14:14" x14ac:dyDescent="0.35">
      <c r="N55" s="70"/>
    </row>
    <row r="56" spans="14:14" x14ac:dyDescent="0.35">
      <c r="N56" s="70"/>
    </row>
    <row r="57" spans="14:14" x14ac:dyDescent="0.35">
      <c r="N57" s="70"/>
    </row>
    <row r="58" spans="14:14" x14ac:dyDescent="0.35">
      <c r="N58" s="70"/>
    </row>
    <row r="59" spans="14:14" x14ac:dyDescent="0.35">
      <c r="N59" s="70"/>
    </row>
    <row r="60" spans="14:14" x14ac:dyDescent="0.35">
      <c r="N60" s="70"/>
    </row>
    <row r="61" spans="14:14" x14ac:dyDescent="0.35">
      <c r="N61" s="70"/>
    </row>
    <row r="62" spans="14:14" x14ac:dyDescent="0.35">
      <c r="N62" s="70"/>
    </row>
    <row r="63" spans="14:14" x14ac:dyDescent="0.35">
      <c r="N63" s="70"/>
    </row>
    <row r="64" spans="14:14" x14ac:dyDescent="0.35">
      <c r="N64" s="70"/>
    </row>
    <row r="65" spans="14:14" x14ac:dyDescent="0.35">
      <c r="N65" s="70"/>
    </row>
    <row r="66" spans="14:14" x14ac:dyDescent="0.35">
      <c r="N66" s="70"/>
    </row>
    <row r="67" spans="14:14" x14ac:dyDescent="0.35">
      <c r="N67" s="70"/>
    </row>
    <row r="68" spans="14:14" x14ac:dyDescent="0.35">
      <c r="N68" s="70"/>
    </row>
    <row r="69" spans="14:14" x14ac:dyDescent="0.35">
      <c r="N69" s="70"/>
    </row>
    <row r="70" spans="14:14" x14ac:dyDescent="0.35">
      <c r="N70" s="70"/>
    </row>
    <row r="71" spans="14:14" x14ac:dyDescent="0.35">
      <c r="N71" s="70"/>
    </row>
    <row r="72" spans="14:14" x14ac:dyDescent="0.35">
      <c r="N72" s="70"/>
    </row>
    <row r="73" spans="14:14" x14ac:dyDescent="0.35">
      <c r="N73" s="70"/>
    </row>
    <row r="74" spans="14:14" x14ac:dyDescent="0.35">
      <c r="N74" s="70"/>
    </row>
    <row r="75" spans="14:14" x14ac:dyDescent="0.35">
      <c r="N75" s="70"/>
    </row>
  </sheetData>
  <sheetProtection algorithmName="SHA-512" hashValue="8DOwZCBD2VVrNtWTd65I5Pl3jklmpuJLQiy6DquNGjmRQ9slRv0XsFswsKFhvyUrSTQD7KI4KLZ8xMJH5HRGZg==" saltValue="9YNr5sKpOFackHtqZbw33A==" spinCount="100000" sheet="1" objects="1" scenarios="1"/>
  <mergeCells count="10">
    <mergeCell ref="E15:E16"/>
    <mergeCell ref="F15:F16"/>
    <mergeCell ref="Q26:R26"/>
    <mergeCell ref="H13:L13"/>
    <mergeCell ref="Q4:S4"/>
    <mergeCell ref="H12:I12"/>
    <mergeCell ref="M13:N13"/>
    <mergeCell ref="G4:H4"/>
    <mergeCell ref="I4:J4"/>
    <mergeCell ref="K4:L4"/>
  </mergeCells>
  <phoneticPr fontId="34" type="noConversion"/>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cord xmlns="4ffa91fb-a0ff-4ac5-b2db-65c790d184a4">Shared</Record>
    <Language xmlns="http://schemas.microsoft.com/sharepoint/v3">English</Language>
    <Document_x0020_Creation_x0020_Date xmlns="4ffa91fb-a0ff-4ac5-b2db-65c790d184a4">2019-12-12T05:00:00+00:00</Document_x0020_Creation_x0020_Date>
    <_Source xmlns="http://schemas.microsoft.com/sharepoint/v3/fields"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pce</TermName>
          <TermId xmlns="http://schemas.microsoft.com/office/infopath/2007/PartnerControls">caf6799b-46ab-451a-9b15-6162a8525ea8</TermId>
        </TermInfo>
        <TermInfo xmlns="http://schemas.microsoft.com/office/infopath/2007/PartnerControls">
          <TermName xmlns="http://schemas.microsoft.com/office/infopath/2007/PartnerControls">occupational exposures</TermName>
          <TermId xmlns="http://schemas.microsoft.com/office/infopath/2007/PartnerControls">18774c37-cb29-4db0-967a-47bce933212b</TermId>
        </TermInfo>
        <TermInfo xmlns="http://schemas.microsoft.com/office/infopath/2007/PartnerControls">
          <TermName xmlns="http://schemas.microsoft.com/office/infopath/2007/PartnerControls">risk calculator</TermName>
          <TermId xmlns="http://schemas.microsoft.com/office/infopath/2007/PartnerControls">8af20125-90c4-4af3-92eb-7f5682895c4d</TermId>
        </TermInfo>
        <TermInfo xmlns="http://schemas.microsoft.com/office/infopath/2007/PartnerControls">
          <TermName xmlns="http://schemas.microsoft.com/office/infopath/2007/PartnerControls">Tetrachloroethylene</TermName>
          <TermId xmlns="http://schemas.microsoft.com/office/infopath/2007/PartnerControls">755bd87a-6ca9-4042-aecb-9586ff92b9b0</TermId>
        </TermInfo>
      </Terms>
    </TaxKeywordTaxHTField>
    <Rights xmlns="4ffa91fb-a0ff-4ac5-b2db-65c790d184a4" xsi:nil="true"/>
    <EPA_x0020_Office xmlns="4ffa91fb-a0ff-4ac5-b2db-65c790d184a4">OCSPP-OPPT-ECRA-RAB1</EPA_x0020_Office>
    <CategoryDescription xmlns="http://schemas.microsoft.com/sharepoint.v3" xsi:nil="true"/>
    <Identifier xmlns="4ffa91fb-a0ff-4ac5-b2db-65c790d184a4" xsi:nil="true"/>
    <_Coverage xmlns="http://schemas.microsoft.com/sharepoint/v3/fields" xsi:nil="true"/>
    <PublishingExpirationDate xmlns="http://schemas.microsoft.com/sharepoint/v3" xsi:nil="true"/>
    <Creator xmlns="4ffa91fb-a0ff-4ac5-b2db-65c790d184a4">
      <UserInfo>
        <DisplayName/>
        <AccountId xsi:nil="true"/>
        <AccountType/>
      </UserInfo>
    </Creator>
    <EPA_x0020_Related_x0020_Documents xmlns="4ffa91fb-a0ff-4ac5-b2db-65c790d184a4" xsi:nil="true"/>
    <PublishingStartDate xmlns="http://schemas.microsoft.com/sharepoint/v3" xsi:nil="true"/>
    <EPA_x0020_Contributor xmlns="4ffa91fb-a0ff-4ac5-b2db-65c790d184a4">
      <UserInfo>
        <DisplayName/>
        <AccountId xsi:nil="true"/>
        <AccountType/>
      </UserInfo>
    </EPA_x0020_Contributor>
    <TaxCatchAll xmlns="4ffa91fb-a0ff-4ac5-b2db-65c790d184a4">
      <Value>1292</Value>
      <Value>1291</Value>
      <Value>1198</Value>
      <Value>1288</Value>
    </TaxCatchAll>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2C10C40A0BBEE47825AD8EA7829F2FF" ma:contentTypeVersion="13" ma:contentTypeDescription="Create a new document." ma:contentTypeScope="" ma:versionID="23246c05bdbb1c3f0668e7e3827a7d15">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fecc2597-e8fd-4279-ac06-bd7c891938be" xmlns:ns6="d2d8c45a-8c4f-4711-bdb7-153a4c03f5d6" targetNamespace="http://schemas.microsoft.com/office/2006/metadata/properties" ma:root="true" ma:fieldsID="281bbbb92ef40b84f5752dd5eb7bf53a" ns1:_="" ns2:_="" ns3:_="" ns4:_="" ns5:_="" ns6:_="">
    <xsd:import namespace="http://schemas.microsoft.com/sharepoint/v3"/>
    <xsd:import namespace="4ffa91fb-a0ff-4ac5-b2db-65c790d184a4"/>
    <xsd:import namespace="http://schemas.microsoft.com/sharepoint.v3"/>
    <xsd:import namespace="http://schemas.microsoft.com/sharepoint/v3/fields"/>
    <xsd:import namespace="fecc2597-e8fd-4279-ac06-bd7c891938be"/>
    <xsd:import namespace="d2d8c45a-8c4f-4711-bdb7-153a4c03f5d6"/>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1:PublishingStartDate" minOccurs="0"/>
                <xsd:element ref="ns1:PublishingExpirationDate" minOccurs="0"/>
                <xsd:element ref="ns6:MediaServiceMetadata" minOccurs="0"/>
                <xsd:element ref="ns6:MediaServiceFastMetadata" minOccurs="0"/>
                <xsd:element ref="ns6:MediaServiceAutoKeyPoints" minOccurs="0"/>
                <xsd:element ref="ns6: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PublishingStartDate" ma:index="3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ip_UnifiedCompliancePolicyProperties" ma:index="37" nillable="true" ma:displayName="Unified Compliance Policy Properties" ma:hidden="true" ma:internalName="_ip_UnifiedCompliancePolicyProperties">
      <xsd:simpleType>
        <xsd:restriction base="dms:Note"/>
      </xsd:simpleType>
    </xsd:element>
    <xsd:element name="_ip_UnifiedCompliancePolicyUIAction" ma:index="3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160cad11-562a-4490-8456-b2fd6f157897}" ma:internalName="TaxCatchAllLabel" ma:readOnly="true" ma:showField="CatchAllDataLabel" ma:web="fecc2597-e8fd-4279-ac06-bd7c891938be">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160cad11-562a-4490-8456-b2fd6f157897}" ma:internalName="TaxCatchAll" ma:showField="CatchAllData" ma:web="fecc2597-e8fd-4279-ac06-bd7c891938be">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cc2597-e8fd-4279-ac06-bd7c891938be"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d8c45a-8c4f-4711-bdb7-153a4c03f5d6" elementFormDefault="qualified">
    <xsd:import namespace="http://schemas.microsoft.com/office/2006/documentManagement/types"/>
    <xsd:import namespace="http://schemas.microsoft.com/office/infopath/2007/PartnerControls"/>
    <xsd:element name="MediaServiceMetadata" ma:index="33" nillable="true" ma:displayName="MediaServiceMetadata" ma:description="" ma:hidden="true" ma:internalName="MediaServiceMetadata" ma:readOnly="true">
      <xsd:simpleType>
        <xsd:restriction base="dms:Note"/>
      </xsd:simpleType>
    </xsd:element>
    <xsd:element name="MediaServiceFastMetadata" ma:index="34" nillable="true" ma:displayName="MediaServiceFastMetadata" ma:description=""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C62E1E3B-D6A7-4F6E-8266-F45DD79BF199}">
  <ds:schemaRefs>
    <ds:schemaRef ds:uri="http://schemas.microsoft.com/sharepoint/v3/contenttype/forms"/>
  </ds:schemaRefs>
</ds:datastoreItem>
</file>

<file path=customXml/itemProps2.xml><?xml version="1.0" encoding="utf-8"?>
<ds:datastoreItem xmlns:ds="http://schemas.openxmlformats.org/officeDocument/2006/customXml" ds:itemID="{A412F8B4-5788-4A50-8FDB-D7CA985C318F}">
  <ds:schemaRefs>
    <ds:schemaRef ds:uri="d2d8c45a-8c4f-4711-bdb7-153a4c03f5d6"/>
    <ds:schemaRef ds:uri="http://schemas.microsoft.com/office/2006/metadata/properties"/>
    <ds:schemaRef ds:uri="http://schemas.openxmlformats.org/package/2006/metadata/core-properties"/>
    <ds:schemaRef ds:uri="http://purl.org/dc/dcmitype/"/>
    <ds:schemaRef ds:uri="http://schemas.microsoft.com/office/infopath/2007/PartnerControls"/>
    <ds:schemaRef ds:uri="http://schemas.microsoft.com/sharepoint/v3"/>
    <ds:schemaRef ds:uri="http://purl.org/dc/elements/1.1/"/>
    <ds:schemaRef ds:uri="http://schemas.microsoft.com/office/2006/documentManagement/types"/>
    <ds:schemaRef ds:uri="http://purl.org/dc/terms/"/>
    <ds:schemaRef ds:uri="http://www.w3.org/XML/1998/namespace"/>
    <ds:schemaRef ds:uri="fecc2597-e8fd-4279-ac06-bd7c891938be"/>
    <ds:schemaRef ds:uri="http://schemas.microsoft.com/sharepoint/v3/fields"/>
    <ds:schemaRef ds:uri="http://schemas.microsoft.com/sharepoint.v3"/>
    <ds:schemaRef ds:uri="4ffa91fb-a0ff-4ac5-b2db-65c790d184a4"/>
  </ds:schemaRefs>
</ds:datastoreItem>
</file>

<file path=customXml/itemProps3.xml><?xml version="1.0" encoding="utf-8"?>
<ds:datastoreItem xmlns:ds="http://schemas.openxmlformats.org/officeDocument/2006/customXml" ds:itemID="{A251F65C-F7A6-4C46-89E8-42E880615E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fecc2597-e8fd-4279-ac06-bd7c891938be"/>
    <ds:schemaRef ds:uri="d2d8c45a-8c4f-4711-bdb7-153a4c03f5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DD121E9-4369-421F-B75E-58E432AD5EB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Cover Page</vt:lpstr>
      <vt:lpstr>Read Me</vt:lpstr>
      <vt:lpstr>Dashboard</vt:lpstr>
      <vt:lpstr>RR</vt:lpstr>
      <vt:lpstr>Inhalation Exposure</vt:lpstr>
      <vt:lpstr>Dermal Crosswalk</vt:lpstr>
      <vt:lpstr>Dermal Exposure</vt:lpstr>
      <vt:lpstr>Exposure Factors</vt:lpstr>
      <vt:lpstr>Hazard Values</vt:lpstr>
      <vt:lpstr>List Values</vt:lpstr>
      <vt:lpstr>AT</vt:lpstr>
      <vt:lpstr>AT_ADC_high</vt:lpstr>
      <vt:lpstr>AT_ADC_mid</vt:lpstr>
      <vt:lpstr>AT_LADC</vt:lpstr>
      <vt:lpstr>ED_12</vt:lpstr>
      <vt:lpstr>ED_8</vt:lpstr>
      <vt:lpstr>EF</vt:lpstr>
      <vt:lpstr>LT</vt:lpstr>
      <vt:lpstr>Mol_Vol</vt:lpstr>
      <vt:lpstr>MW</vt:lpstr>
      <vt:lpstr>WY_high</vt:lpstr>
      <vt:lpstr>WY_mid</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PCE Supplemental Information File Risk Calculator for Occupational Exposures</dc:title>
  <dc:subject>Risk Calculator for Occupational Exposures</dc:subject>
  <dc:creator>US EPA</dc:creator>
  <cp:keywords>Tetrachloroethylene ; risk calculator ; occupational exposures ; pce</cp:keywords>
  <dc:description/>
  <cp:lastModifiedBy>Jacobs, Keith</cp:lastModifiedBy>
  <cp:revision/>
  <dcterms:created xsi:type="dcterms:W3CDTF">2014-03-17T14:32:48Z</dcterms:created>
  <dcterms:modified xsi:type="dcterms:W3CDTF">2020-12-07T21:17:55Z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0x01010002C10C40A0BBEE47825AD8EA7829F2FF</vt:lpwstr>
  </property>
  <property fmtid="{D5CDD505-2E9C-101B-9397-08002B2CF9AE}" pid="3" name="TaxKeyword">
    <vt:lpwstr>1292;#pce|caf6799b-46ab-451a-9b15-6162a8525ea8;#1291;#occupational exposures|18774c37-cb29-4db0-967a-47bce933212b;#1198;#risk calculator|8af20125-90c4-4af3-92eb-7f5682895c4d;#1288;#Tetrachloroethylene|755bd87a-6ca9-4042-aecb-9586ff92b9b0</vt:lpwstr>
  </property>
  <property fmtid="{D5CDD505-2E9C-101B-9397-08002B2CF9AE}" pid="4" name="EPA Subject">
    <vt:lpwstr/>
  </property>
  <property fmtid="{D5CDD505-2E9C-101B-9397-08002B2CF9AE}" pid="5" name="Document Type">
    <vt:lpwstr/>
  </property>
</Properties>
</file>