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5.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6.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7.xml" ContentType="application/vnd.openxmlformats-officedocument.drawing+xml"/>
  <Override PartName="/xl/comments7.xml" ContentType="application/vnd.openxmlformats-officedocument.spreadsheetml.comments+xml"/>
  <Override PartName="/xl/charts/chart7.xml" ContentType="application/vnd.openxmlformats-officedocument.drawingml.chart+xml"/>
  <Override PartName="/xl/drawings/drawing8.xml" ContentType="application/vnd.openxmlformats-officedocument.drawing+xml"/>
  <Override PartName="/xl/comments8.xml" ContentType="application/vnd.openxmlformats-officedocument.spreadsheetml.comments+xml"/>
  <Override PartName="/xl/charts/chart8.xml" ContentType="application/vnd.openxmlformats-officedocument.drawingml.chart+xml"/>
  <Override PartName="/xl/drawings/drawing9.xml" ContentType="application/vnd.openxmlformats-officedocument.drawing+xml"/>
  <Override PartName="/xl/comments9.xml" ContentType="application/vnd.openxmlformats-officedocument.spreadsheetml.comments+xml"/>
  <Override PartName="/xl/charts/chart9.xml" ContentType="application/vnd.openxmlformats-officedocument.drawingml.chart+xml"/>
  <Override PartName="/xl/drawings/drawing10.xml" ContentType="application/vnd.openxmlformats-officedocument.drawing+xml"/>
  <Override PartName="/xl/comments10.xml" ContentType="application/vnd.openxmlformats-officedocument.spreadsheetml.comments+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S:\AWOP2\Communication\EPA Website\Web Page Content\2023 - Tank Assessment update\"/>
    </mc:Choice>
  </mc:AlternateContent>
  <xr:revisionPtr revIDLastSave="0" documentId="13_ncr:1_{B975D10E-D9F2-4F00-87C9-FCB9E85AEAA8}" xr6:coauthVersionLast="47" xr6:coauthVersionMax="47" xr10:uidLastSave="{00000000-0000-0000-0000-000000000000}"/>
  <bookViews>
    <workbookView xWindow="36480" yWindow="-10950" windowWidth="14400" windowHeight="11940" tabRatio="933" xr2:uid="{00000000-000D-0000-FFFF-FFFF00000000}"/>
  </bookViews>
  <sheets>
    <sheet name="Introduction" sheetId="8" r:id="rId1"/>
    <sheet name="Tank Summary" sheetId="33" r:id="rId2"/>
    <sheet name="Example" sheetId="47" r:id="rId3"/>
    <sheet name="Tank#1" sheetId="83" r:id="rId4"/>
    <sheet name="Tank#2" sheetId="84" r:id="rId5"/>
    <sheet name="Tank#3" sheetId="85" r:id="rId6"/>
    <sheet name="Tank#4" sheetId="86" r:id="rId7"/>
    <sheet name="Tank#5" sheetId="87" r:id="rId8"/>
    <sheet name="Tank#6" sheetId="88" r:id="rId9"/>
    <sheet name="Tank#7" sheetId="89" r:id="rId10"/>
    <sheet name="Tank#8" sheetId="90" r:id="rId11"/>
    <sheet name="Tank#9" sheetId="91" r:id="rId12"/>
    <sheet name="Data Considerations" sheetId="81" r:id="rId13"/>
    <sheet name="Glossary" sheetId="54" r:id="rId14"/>
    <sheet name="ESRI_MAPINFO_SHEET" sheetId="82" state="veryHidden" r:id="rId15"/>
  </sheets>
  <definedNames>
    <definedName name="_xlnm.Print_Area" localSheetId="0">Introduction!$B$2:$R$36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7" i="91" l="1"/>
  <c r="I77" i="90"/>
  <c r="I77" i="89"/>
  <c r="I77" i="88"/>
  <c r="I77" i="87"/>
  <c r="I77" i="86"/>
  <c r="I77" i="83"/>
  <c r="I77" i="85"/>
  <c r="I77" i="84"/>
  <c r="I77" i="47"/>
  <c r="L26" i="33"/>
  <c r="M26" i="33"/>
  <c r="N26" i="33"/>
  <c r="O26" i="33"/>
  <c r="P26" i="33"/>
  <c r="Q26" i="33"/>
  <c r="R26" i="33"/>
  <c r="S26" i="33"/>
  <c r="T26" i="33"/>
  <c r="K26" i="33"/>
  <c r="K54" i="91"/>
  <c r="K55" i="91"/>
  <c r="K56" i="91"/>
  <c r="K57" i="91"/>
  <c r="K58" i="91"/>
  <c r="K59" i="91"/>
  <c r="K60" i="91"/>
  <c r="K61" i="91"/>
  <c r="K62" i="91"/>
  <c r="K63" i="91"/>
  <c r="K64" i="91"/>
  <c r="K65" i="91"/>
  <c r="K66" i="91"/>
  <c r="K67" i="91"/>
  <c r="K53" i="91"/>
  <c r="K54" i="90"/>
  <c r="K55" i="90"/>
  <c r="K56" i="90"/>
  <c r="K57" i="90"/>
  <c r="K58" i="90"/>
  <c r="K59" i="90"/>
  <c r="K60" i="90"/>
  <c r="K61" i="90"/>
  <c r="K62" i="90"/>
  <c r="K63" i="90"/>
  <c r="K64" i="90"/>
  <c r="K65" i="90"/>
  <c r="K66" i="90"/>
  <c r="K67" i="90"/>
  <c r="K53" i="90"/>
  <c r="K54" i="89"/>
  <c r="K55" i="89"/>
  <c r="K56" i="89"/>
  <c r="K57" i="89"/>
  <c r="K58" i="89"/>
  <c r="K59" i="89"/>
  <c r="K60" i="89"/>
  <c r="K61" i="89"/>
  <c r="K62" i="89"/>
  <c r="K63" i="89"/>
  <c r="K64" i="89"/>
  <c r="K65" i="89"/>
  <c r="K66" i="89"/>
  <c r="K67" i="89"/>
  <c r="K53" i="89"/>
  <c r="K54" i="88"/>
  <c r="K55" i="88"/>
  <c r="K56" i="88"/>
  <c r="K57" i="88"/>
  <c r="K58" i="88"/>
  <c r="K59" i="88"/>
  <c r="K60" i="88"/>
  <c r="K61" i="88"/>
  <c r="K62" i="88"/>
  <c r="K63" i="88"/>
  <c r="K64" i="88"/>
  <c r="K65" i="88"/>
  <c r="K66" i="88"/>
  <c r="K67" i="88"/>
  <c r="K53" i="88"/>
  <c r="K54" i="87"/>
  <c r="K55" i="87"/>
  <c r="K56" i="87"/>
  <c r="K57" i="87"/>
  <c r="K58" i="87"/>
  <c r="K59" i="87"/>
  <c r="K60" i="87"/>
  <c r="K61" i="87"/>
  <c r="K62" i="87"/>
  <c r="K63" i="87"/>
  <c r="K64" i="87"/>
  <c r="K65" i="87"/>
  <c r="K66" i="87"/>
  <c r="K67" i="87"/>
  <c r="K53" i="87"/>
  <c r="K54" i="86"/>
  <c r="K55" i="86"/>
  <c r="K56" i="86"/>
  <c r="K57" i="86"/>
  <c r="K58" i="86"/>
  <c r="K59" i="86"/>
  <c r="K60" i="86"/>
  <c r="K61" i="86"/>
  <c r="K62" i="86"/>
  <c r="K63" i="86"/>
  <c r="K64" i="86"/>
  <c r="K65" i="86"/>
  <c r="K66" i="86"/>
  <c r="K67" i="86"/>
  <c r="K53" i="86"/>
  <c r="K54" i="85"/>
  <c r="K55" i="85"/>
  <c r="K56" i="85"/>
  <c r="K57" i="85"/>
  <c r="K58" i="85"/>
  <c r="K59" i="85"/>
  <c r="K60" i="85"/>
  <c r="K61" i="85"/>
  <c r="K62" i="85"/>
  <c r="K63" i="85"/>
  <c r="K64" i="85"/>
  <c r="K65" i="85"/>
  <c r="K66" i="85"/>
  <c r="K67" i="85"/>
  <c r="K53" i="85"/>
  <c r="K54" i="84"/>
  <c r="K55" i="84"/>
  <c r="K56" i="84"/>
  <c r="K57" i="84"/>
  <c r="K58" i="84"/>
  <c r="K59" i="84"/>
  <c r="K60" i="84"/>
  <c r="K61" i="84"/>
  <c r="K62" i="84"/>
  <c r="K63" i="84"/>
  <c r="K64" i="84"/>
  <c r="K65" i="84"/>
  <c r="K66" i="84"/>
  <c r="K67" i="84"/>
  <c r="K53" i="84"/>
  <c r="K54" i="83"/>
  <c r="K55" i="83"/>
  <c r="K56" i="83"/>
  <c r="K57" i="83"/>
  <c r="K58" i="83"/>
  <c r="K59" i="83"/>
  <c r="K60" i="83"/>
  <c r="K61" i="83"/>
  <c r="K62" i="83"/>
  <c r="K63" i="83"/>
  <c r="K64" i="83"/>
  <c r="K65" i="83"/>
  <c r="K66" i="83"/>
  <c r="K67" i="83"/>
  <c r="K53" i="83"/>
  <c r="K54" i="47"/>
  <c r="K55" i="47"/>
  <c r="K56" i="47"/>
  <c r="K57" i="47"/>
  <c r="K58" i="47"/>
  <c r="K59" i="47"/>
  <c r="K60" i="47"/>
  <c r="K61" i="47"/>
  <c r="K62" i="47"/>
  <c r="K63" i="47"/>
  <c r="K64" i="47"/>
  <c r="K65" i="47"/>
  <c r="K66" i="47"/>
  <c r="K67" i="47"/>
  <c r="K53" i="47"/>
  <c r="C12" i="91"/>
  <c r="C12" i="90"/>
  <c r="C12" i="89"/>
  <c r="C12" i="88"/>
  <c r="C12" i="87"/>
  <c r="C12" i="86"/>
  <c r="C12" i="85"/>
  <c r="C12" i="84"/>
  <c r="C12" i="47"/>
  <c r="D12" i="91" l="1"/>
  <c r="D12" i="90"/>
  <c r="D12" i="89"/>
  <c r="D12" i="88"/>
  <c r="D12" i="87"/>
  <c r="D12" i="86"/>
  <c r="D12" i="85"/>
  <c r="D12" i="84"/>
  <c r="D12" i="47"/>
  <c r="C11" i="47"/>
  <c r="C10" i="47"/>
  <c r="C11" i="91"/>
  <c r="C10" i="91"/>
  <c r="C11" i="90"/>
  <c r="C10" i="90"/>
  <c r="C11" i="89"/>
  <c r="C10" i="89"/>
  <c r="C11" i="88"/>
  <c r="C10" i="88"/>
  <c r="C11" i="87"/>
  <c r="C10" i="87"/>
  <c r="C11" i="86"/>
  <c r="C10" i="86"/>
  <c r="C11" i="85"/>
  <c r="C10" i="85"/>
  <c r="C11" i="84"/>
  <c r="C10" i="84"/>
  <c r="J76" i="86"/>
  <c r="J73" i="86"/>
  <c r="J71" i="86"/>
  <c r="J70" i="86"/>
  <c r="J76" i="85"/>
  <c r="J73" i="85"/>
  <c r="J71" i="85"/>
  <c r="J70" i="85"/>
  <c r="J76" i="84"/>
  <c r="J73" i="84"/>
  <c r="J71" i="84"/>
  <c r="J70" i="84"/>
  <c r="J70" i="83"/>
  <c r="J73" i="83" s="1"/>
  <c r="D13" i="91"/>
  <c r="D11" i="91"/>
  <c r="D10" i="91"/>
  <c r="D9" i="91"/>
  <c r="D8" i="91"/>
  <c r="D7" i="91"/>
  <c r="D6" i="91"/>
  <c r="D5" i="91"/>
  <c r="D13" i="90"/>
  <c r="D98" i="90" s="1"/>
  <c r="D11" i="90"/>
  <c r="D10" i="90"/>
  <c r="D9" i="90"/>
  <c r="D8" i="90"/>
  <c r="H130" i="90" s="1"/>
  <c r="D7" i="90"/>
  <c r="C97" i="90" s="1"/>
  <c r="D6" i="90"/>
  <c r="D5" i="90"/>
  <c r="D13" i="89"/>
  <c r="D11" i="89"/>
  <c r="D10" i="89"/>
  <c r="D9" i="89"/>
  <c r="D8" i="89"/>
  <c r="R17" i="89" s="1"/>
  <c r="D7" i="89"/>
  <c r="D6" i="89"/>
  <c r="D5" i="89"/>
  <c r="D13" i="88"/>
  <c r="D98" i="88" s="1"/>
  <c r="D11" i="88"/>
  <c r="D10" i="88"/>
  <c r="F103" i="88" s="1"/>
  <c r="D9" i="88"/>
  <c r="D8" i="88"/>
  <c r="G54" i="88" s="1"/>
  <c r="D7" i="88"/>
  <c r="D6" i="88"/>
  <c r="D5" i="88"/>
  <c r="D13" i="87"/>
  <c r="D98" i="87" s="1"/>
  <c r="D11" i="87"/>
  <c r="D10" i="87"/>
  <c r="D9" i="87"/>
  <c r="D8" i="87"/>
  <c r="E16" i="87" s="1"/>
  <c r="D7" i="87"/>
  <c r="D6" i="87"/>
  <c r="D5" i="87"/>
  <c r="D13" i="86"/>
  <c r="D98" i="86" s="1"/>
  <c r="D11" i="86"/>
  <c r="D10" i="86"/>
  <c r="I103" i="86" s="1"/>
  <c r="D9" i="86"/>
  <c r="D8" i="86"/>
  <c r="E131" i="86" s="1"/>
  <c r="D7" i="86"/>
  <c r="D6" i="86"/>
  <c r="D5" i="86"/>
  <c r="D13" i="85"/>
  <c r="D11" i="85"/>
  <c r="D10" i="85"/>
  <c r="D9" i="85"/>
  <c r="D8" i="85"/>
  <c r="J97" i="85" s="1"/>
  <c r="D7" i="85"/>
  <c r="D6" i="85"/>
  <c r="D5" i="85"/>
  <c r="D13" i="84"/>
  <c r="D11" i="84"/>
  <c r="D10" i="84"/>
  <c r="D9" i="84"/>
  <c r="D8" i="84"/>
  <c r="J97" i="84" s="1"/>
  <c r="D7" i="84"/>
  <c r="D6" i="84"/>
  <c r="D5" i="84"/>
  <c r="D13" i="83"/>
  <c r="D98" i="83" s="1"/>
  <c r="D11" i="83"/>
  <c r="D10" i="83"/>
  <c r="D9" i="83"/>
  <c r="D8" i="83"/>
  <c r="D7" i="83"/>
  <c r="C10" i="83" s="1"/>
  <c r="D6" i="83"/>
  <c r="D5" i="83"/>
  <c r="I135" i="91"/>
  <c r="H135" i="91"/>
  <c r="G135" i="91"/>
  <c r="F135" i="91"/>
  <c r="E135" i="91"/>
  <c r="I129" i="91"/>
  <c r="H129" i="91"/>
  <c r="G129" i="91"/>
  <c r="F129" i="91"/>
  <c r="E129" i="91"/>
  <c r="J126" i="91"/>
  <c r="I126" i="91"/>
  <c r="H126" i="91"/>
  <c r="G126" i="91"/>
  <c r="F126" i="91"/>
  <c r="E126" i="91"/>
  <c r="C126" i="91"/>
  <c r="J125" i="91"/>
  <c r="I125" i="91"/>
  <c r="H125" i="91"/>
  <c r="G125" i="91"/>
  <c r="F125" i="91"/>
  <c r="E125" i="91"/>
  <c r="C125" i="91"/>
  <c r="I103" i="91"/>
  <c r="E67" i="91"/>
  <c r="D67" i="91"/>
  <c r="B67" i="91" s="1"/>
  <c r="E66" i="91"/>
  <c r="D66" i="91"/>
  <c r="B66" i="91" s="1"/>
  <c r="E65" i="91"/>
  <c r="D65" i="91"/>
  <c r="B65" i="91" s="1"/>
  <c r="E64" i="91"/>
  <c r="D64" i="91"/>
  <c r="B64" i="91" s="1"/>
  <c r="E63" i="91"/>
  <c r="D63" i="91"/>
  <c r="B63" i="91" s="1"/>
  <c r="E62" i="91"/>
  <c r="D62" i="91"/>
  <c r="B62" i="91" s="1"/>
  <c r="E61" i="91"/>
  <c r="D61" i="91"/>
  <c r="B61" i="91"/>
  <c r="E60" i="91"/>
  <c r="D60" i="91"/>
  <c r="B60" i="91" s="1"/>
  <c r="E59" i="91"/>
  <c r="D59" i="91"/>
  <c r="B59" i="91" s="1"/>
  <c r="E58" i="91"/>
  <c r="D58" i="91"/>
  <c r="E57" i="91"/>
  <c r="D57" i="91"/>
  <c r="E56" i="91"/>
  <c r="D56" i="91"/>
  <c r="E55" i="91"/>
  <c r="D55" i="91"/>
  <c r="B55" i="91" s="1"/>
  <c r="E54" i="91"/>
  <c r="D54" i="91"/>
  <c r="B54" i="91" s="1"/>
  <c r="E53" i="91"/>
  <c r="D53" i="91"/>
  <c r="B53" i="91" s="1"/>
  <c r="G47" i="91"/>
  <c r="R47" i="91" s="1"/>
  <c r="G46" i="91"/>
  <c r="G45" i="91"/>
  <c r="R45" i="91" s="1"/>
  <c r="G44" i="91"/>
  <c r="R44" i="91" s="1"/>
  <c r="G43" i="91"/>
  <c r="R43" i="91" s="1"/>
  <c r="G42" i="91"/>
  <c r="G41" i="91"/>
  <c r="R41" i="91" s="1"/>
  <c r="G40" i="91"/>
  <c r="R40" i="91" s="1"/>
  <c r="G39" i="91"/>
  <c r="R39" i="91" s="1"/>
  <c r="G38" i="91"/>
  <c r="R38" i="91" s="1"/>
  <c r="G37" i="91"/>
  <c r="R37" i="91" s="1"/>
  <c r="G36" i="91"/>
  <c r="R36" i="91" s="1"/>
  <c r="G35" i="91"/>
  <c r="R35" i="91" s="1"/>
  <c r="G34" i="91"/>
  <c r="G33" i="91"/>
  <c r="R33" i="91" s="1"/>
  <c r="G32" i="91"/>
  <c r="R32" i="91" s="1"/>
  <c r="G31" i="91"/>
  <c r="R31" i="91" s="1"/>
  <c r="G30" i="91"/>
  <c r="H30" i="91" s="1"/>
  <c r="G29" i="91"/>
  <c r="R29" i="91" s="1"/>
  <c r="G28" i="91"/>
  <c r="R28" i="91" s="1"/>
  <c r="G27" i="91"/>
  <c r="R27" i="91" s="1"/>
  <c r="G26" i="91"/>
  <c r="R26" i="91" s="1"/>
  <c r="G25" i="91"/>
  <c r="R25" i="91" s="1"/>
  <c r="G24" i="91"/>
  <c r="R24" i="91" s="1"/>
  <c r="G23" i="91"/>
  <c r="R23" i="91" s="1"/>
  <c r="G22" i="91"/>
  <c r="G21" i="91"/>
  <c r="R21" i="91" s="1"/>
  <c r="G20" i="91"/>
  <c r="R20" i="91" s="1"/>
  <c r="G19" i="91"/>
  <c r="R19" i="91" s="1"/>
  <c r="G18" i="91"/>
  <c r="H45" i="91" s="1"/>
  <c r="D98" i="91"/>
  <c r="D97" i="91"/>
  <c r="F97" i="91" s="1"/>
  <c r="I135" i="90"/>
  <c r="H135" i="90"/>
  <c r="G135" i="90"/>
  <c r="F135" i="90"/>
  <c r="E135" i="90"/>
  <c r="I129" i="90"/>
  <c r="H129" i="90"/>
  <c r="G129" i="90"/>
  <c r="F129" i="90"/>
  <c r="E129" i="90"/>
  <c r="J126" i="90"/>
  <c r="I126" i="90"/>
  <c r="H126" i="90"/>
  <c r="G126" i="90"/>
  <c r="F126" i="90"/>
  <c r="E126" i="90"/>
  <c r="C126" i="90"/>
  <c r="J125" i="90"/>
  <c r="I125" i="90"/>
  <c r="H125" i="90"/>
  <c r="G125" i="90"/>
  <c r="F125" i="90"/>
  <c r="E125" i="90"/>
  <c r="C125" i="90"/>
  <c r="C96" i="90"/>
  <c r="E67" i="90"/>
  <c r="D67" i="90"/>
  <c r="B67" i="90" s="1"/>
  <c r="E66" i="90"/>
  <c r="D66" i="90"/>
  <c r="B66" i="90" s="1"/>
  <c r="E65" i="90"/>
  <c r="D65" i="90"/>
  <c r="B65" i="90" s="1"/>
  <c r="E64" i="90"/>
  <c r="D64" i="90"/>
  <c r="E63" i="90"/>
  <c r="D63" i="90"/>
  <c r="B63" i="90" s="1"/>
  <c r="E62" i="90"/>
  <c r="D62" i="90"/>
  <c r="B62" i="90" s="1"/>
  <c r="E61" i="90"/>
  <c r="D61" i="90"/>
  <c r="B61" i="90" s="1"/>
  <c r="E60" i="90"/>
  <c r="D60" i="90"/>
  <c r="E59" i="90"/>
  <c r="D59" i="90"/>
  <c r="B59" i="90" s="1"/>
  <c r="E58" i="90"/>
  <c r="D58" i="90"/>
  <c r="B58" i="90" s="1"/>
  <c r="E57" i="90"/>
  <c r="D57" i="90"/>
  <c r="B57" i="90" s="1"/>
  <c r="E56" i="90"/>
  <c r="D56" i="90"/>
  <c r="E55" i="90"/>
  <c r="D55" i="90"/>
  <c r="B55" i="90" s="1"/>
  <c r="E54" i="90"/>
  <c r="D54" i="90"/>
  <c r="B54" i="90" s="1"/>
  <c r="E53" i="90"/>
  <c r="D53" i="90"/>
  <c r="B53" i="90" s="1"/>
  <c r="G47" i="90"/>
  <c r="R47" i="90" s="1"/>
  <c r="G46" i="90"/>
  <c r="G45" i="90"/>
  <c r="G44" i="90"/>
  <c r="R44" i="90" s="1"/>
  <c r="G43" i="90"/>
  <c r="R43" i="90" s="1"/>
  <c r="G42" i="90"/>
  <c r="G41" i="90"/>
  <c r="H40" i="90"/>
  <c r="G40" i="90"/>
  <c r="R40" i="90" s="1"/>
  <c r="G39" i="90"/>
  <c r="R39" i="90" s="1"/>
  <c r="G38" i="90"/>
  <c r="R37" i="90"/>
  <c r="G37" i="90"/>
  <c r="H36" i="90"/>
  <c r="G36" i="90"/>
  <c r="R36" i="90" s="1"/>
  <c r="G35" i="90"/>
  <c r="R35" i="90" s="1"/>
  <c r="G34" i="90"/>
  <c r="G33" i="90"/>
  <c r="H33" i="90" s="1"/>
  <c r="G32" i="90"/>
  <c r="R32" i="90" s="1"/>
  <c r="G31" i="90"/>
  <c r="R31" i="90" s="1"/>
  <c r="G30" i="90"/>
  <c r="G29" i="90"/>
  <c r="H29" i="90" s="1"/>
  <c r="G28" i="90"/>
  <c r="H28" i="90" s="1"/>
  <c r="G27" i="90"/>
  <c r="R27" i="90" s="1"/>
  <c r="G26" i="90"/>
  <c r="H25" i="90"/>
  <c r="G25" i="90"/>
  <c r="R25" i="90" s="1"/>
  <c r="G24" i="90"/>
  <c r="G23" i="90"/>
  <c r="R23" i="90" s="1"/>
  <c r="G22" i="90"/>
  <c r="G21" i="90"/>
  <c r="R21" i="90" s="1"/>
  <c r="R20" i="90"/>
  <c r="G20" i="90"/>
  <c r="H20" i="90" s="1"/>
  <c r="G19" i="90"/>
  <c r="R19" i="90" s="1"/>
  <c r="R18" i="90"/>
  <c r="G18" i="90"/>
  <c r="D97" i="90"/>
  <c r="I135" i="89"/>
  <c r="H135" i="89"/>
  <c r="G135" i="89"/>
  <c r="F135" i="89"/>
  <c r="E135" i="89"/>
  <c r="I129" i="89"/>
  <c r="H129" i="89"/>
  <c r="G129" i="89"/>
  <c r="F129" i="89"/>
  <c r="E129" i="89"/>
  <c r="J126" i="89"/>
  <c r="I126" i="89"/>
  <c r="H126" i="89"/>
  <c r="G126" i="89"/>
  <c r="F126" i="89"/>
  <c r="E126" i="89"/>
  <c r="C126" i="89"/>
  <c r="J125" i="89"/>
  <c r="I125" i="89"/>
  <c r="H125" i="89"/>
  <c r="G125" i="89"/>
  <c r="F125" i="89"/>
  <c r="E125" i="89"/>
  <c r="C125" i="89"/>
  <c r="E67" i="89"/>
  <c r="D67" i="89"/>
  <c r="B67" i="89" s="1"/>
  <c r="E66" i="89"/>
  <c r="D66" i="89"/>
  <c r="B66" i="89" s="1"/>
  <c r="E65" i="89"/>
  <c r="D65" i="89"/>
  <c r="B65" i="89" s="1"/>
  <c r="E64" i="89"/>
  <c r="D64" i="89"/>
  <c r="B64" i="89" s="1"/>
  <c r="E63" i="89"/>
  <c r="D63" i="89"/>
  <c r="B63" i="89" s="1"/>
  <c r="E62" i="89"/>
  <c r="D62" i="89"/>
  <c r="B62" i="89" s="1"/>
  <c r="E61" i="89"/>
  <c r="D61" i="89"/>
  <c r="B61" i="89" s="1"/>
  <c r="E60" i="89"/>
  <c r="D60" i="89"/>
  <c r="B60" i="89" s="1"/>
  <c r="E59" i="89"/>
  <c r="D59" i="89"/>
  <c r="B59" i="89" s="1"/>
  <c r="E58" i="89"/>
  <c r="D58" i="89"/>
  <c r="B58" i="89" s="1"/>
  <c r="E57" i="89"/>
  <c r="D57" i="89"/>
  <c r="B57" i="89" s="1"/>
  <c r="E56" i="89"/>
  <c r="D56" i="89"/>
  <c r="B56" i="89"/>
  <c r="E55" i="89"/>
  <c r="D55" i="89"/>
  <c r="B55" i="89" s="1"/>
  <c r="E54" i="89"/>
  <c r="D54" i="89"/>
  <c r="B54" i="89" s="1"/>
  <c r="E53" i="89"/>
  <c r="D53" i="89"/>
  <c r="G47" i="89"/>
  <c r="R47" i="89" s="1"/>
  <c r="G46" i="89"/>
  <c r="R46" i="89" s="1"/>
  <c r="G45" i="89"/>
  <c r="R45" i="89" s="1"/>
  <c r="G44" i="89"/>
  <c r="G43" i="89"/>
  <c r="R43" i="89" s="1"/>
  <c r="G42" i="89"/>
  <c r="R42" i="89" s="1"/>
  <c r="G41" i="89"/>
  <c r="R41" i="89" s="1"/>
  <c r="G40" i="89"/>
  <c r="R40" i="89" s="1"/>
  <c r="G39" i="89"/>
  <c r="R39" i="89" s="1"/>
  <c r="G38" i="89"/>
  <c r="R38" i="89" s="1"/>
  <c r="G37" i="89"/>
  <c r="R37" i="89" s="1"/>
  <c r="G36" i="89"/>
  <c r="H36" i="89" s="1"/>
  <c r="G35" i="89"/>
  <c r="R35" i="89" s="1"/>
  <c r="G34" i="89"/>
  <c r="R34" i="89" s="1"/>
  <c r="G33" i="89"/>
  <c r="R33" i="89" s="1"/>
  <c r="G32" i="89"/>
  <c r="G31" i="89"/>
  <c r="R31" i="89" s="1"/>
  <c r="G30" i="89"/>
  <c r="R30" i="89" s="1"/>
  <c r="G29" i="89"/>
  <c r="R29" i="89" s="1"/>
  <c r="G28" i="89"/>
  <c r="G27" i="89"/>
  <c r="R27" i="89" s="1"/>
  <c r="G26" i="89"/>
  <c r="R26" i="89" s="1"/>
  <c r="G25" i="89"/>
  <c r="R25" i="89" s="1"/>
  <c r="G24" i="89"/>
  <c r="H24" i="89" s="1"/>
  <c r="G23" i="89"/>
  <c r="R23" i="89" s="1"/>
  <c r="G22" i="89"/>
  <c r="R22" i="89" s="1"/>
  <c r="G21" i="89"/>
  <c r="H21" i="89" s="1"/>
  <c r="G20" i="89"/>
  <c r="G19" i="89"/>
  <c r="R19" i="89" s="1"/>
  <c r="G18" i="89"/>
  <c r="H47" i="89" s="1"/>
  <c r="D98" i="89"/>
  <c r="E11" i="89"/>
  <c r="D97" i="89"/>
  <c r="F97" i="89" s="1"/>
  <c r="J99" i="89"/>
  <c r="I135" i="88"/>
  <c r="H135" i="88"/>
  <c r="G135" i="88"/>
  <c r="F135" i="88"/>
  <c r="E135" i="88"/>
  <c r="I129" i="88"/>
  <c r="H129" i="88"/>
  <c r="G129" i="88"/>
  <c r="F129" i="88"/>
  <c r="E129" i="88"/>
  <c r="J126" i="88"/>
  <c r="I126" i="88"/>
  <c r="H126" i="88"/>
  <c r="G126" i="88"/>
  <c r="F126" i="88"/>
  <c r="E126" i="88"/>
  <c r="C126" i="88"/>
  <c r="J125" i="88"/>
  <c r="I125" i="88"/>
  <c r="H125" i="88"/>
  <c r="G125" i="88"/>
  <c r="F125" i="88"/>
  <c r="E125" i="88"/>
  <c r="C125" i="88"/>
  <c r="I103" i="88"/>
  <c r="C96" i="88"/>
  <c r="H70" i="88"/>
  <c r="E67" i="88"/>
  <c r="D67" i="88"/>
  <c r="E66" i="88"/>
  <c r="D66" i="88"/>
  <c r="B66" i="88" s="1"/>
  <c r="E65" i="88"/>
  <c r="D65" i="88"/>
  <c r="B65" i="88" s="1"/>
  <c r="E64" i="88"/>
  <c r="D64" i="88"/>
  <c r="B64" i="88" s="1"/>
  <c r="E63" i="88"/>
  <c r="D63" i="88"/>
  <c r="E62" i="88"/>
  <c r="D62" i="88"/>
  <c r="E61" i="88"/>
  <c r="D61" i="88"/>
  <c r="B61" i="88" s="1"/>
  <c r="E60" i="88"/>
  <c r="D60" i="88"/>
  <c r="E59" i="88"/>
  <c r="D59" i="88"/>
  <c r="B59" i="88" s="1"/>
  <c r="E58" i="88"/>
  <c r="D58" i="88"/>
  <c r="E57" i="88"/>
  <c r="D57" i="88"/>
  <c r="B57" i="88" s="1"/>
  <c r="E56" i="88"/>
  <c r="D56" i="88"/>
  <c r="B56" i="88" s="1"/>
  <c r="E55" i="88"/>
  <c r="D55" i="88"/>
  <c r="E54" i="88"/>
  <c r="D54" i="88"/>
  <c r="B54" i="88" s="1"/>
  <c r="E53" i="88"/>
  <c r="D53" i="88"/>
  <c r="B53" i="88" s="1"/>
  <c r="E52" i="88"/>
  <c r="G47" i="88"/>
  <c r="R47" i="88" s="1"/>
  <c r="G46" i="88"/>
  <c r="R46" i="88" s="1"/>
  <c r="G45" i="88"/>
  <c r="R45" i="88" s="1"/>
  <c r="G44" i="88"/>
  <c r="G43" i="88"/>
  <c r="R43" i="88" s="1"/>
  <c r="G42" i="88"/>
  <c r="R42" i="88" s="1"/>
  <c r="G41" i="88"/>
  <c r="R41" i="88" s="1"/>
  <c r="G40" i="88"/>
  <c r="G39" i="88"/>
  <c r="R39" i="88" s="1"/>
  <c r="G38" i="88"/>
  <c r="R38" i="88" s="1"/>
  <c r="G37" i="88"/>
  <c r="R37" i="88" s="1"/>
  <c r="G36" i="88"/>
  <c r="G35" i="88"/>
  <c r="R35" i="88" s="1"/>
  <c r="G34" i="88"/>
  <c r="R34" i="88" s="1"/>
  <c r="G33" i="88"/>
  <c r="R33" i="88" s="1"/>
  <c r="G32" i="88"/>
  <c r="G31" i="88"/>
  <c r="R31" i="88" s="1"/>
  <c r="G30" i="88"/>
  <c r="R30" i="88" s="1"/>
  <c r="G29" i="88"/>
  <c r="R29" i="88" s="1"/>
  <c r="G28" i="88"/>
  <c r="G27" i="88"/>
  <c r="R27" i="88" s="1"/>
  <c r="G26" i="88"/>
  <c r="R26" i="88" s="1"/>
  <c r="G25" i="88"/>
  <c r="R25" i="88" s="1"/>
  <c r="G24" i="88"/>
  <c r="G23" i="88"/>
  <c r="R23" i="88" s="1"/>
  <c r="G22" i="88"/>
  <c r="R22" i="88" s="1"/>
  <c r="G21" i="88"/>
  <c r="R21" i="88" s="1"/>
  <c r="G20" i="88"/>
  <c r="G19" i="88"/>
  <c r="R19" i="88" s="1"/>
  <c r="G18" i="88"/>
  <c r="R18" i="88" s="1"/>
  <c r="E17" i="88"/>
  <c r="D97" i="88"/>
  <c r="F97" i="88" s="1"/>
  <c r="E9" i="88"/>
  <c r="I135" i="87"/>
  <c r="H135" i="87"/>
  <c r="G135" i="87"/>
  <c r="F135" i="87"/>
  <c r="E135" i="87"/>
  <c r="I129" i="87"/>
  <c r="H129" i="87"/>
  <c r="G129" i="87"/>
  <c r="F129" i="87"/>
  <c r="E129" i="87"/>
  <c r="J126" i="87"/>
  <c r="I126" i="87"/>
  <c r="H126" i="87"/>
  <c r="G126" i="87"/>
  <c r="F126" i="87"/>
  <c r="E126" i="87"/>
  <c r="C126" i="87"/>
  <c r="J125" i="87"/>
  <c r="I125" i="87"/>
  <c r="H125" i="87"/>
  <c r="G125" i="87"/>
  <c r="F125" i="87"/>
  <c r="E125" i="87"/>
  <c r="C125" i="87"/>
  <c r="E67" i="87"/>
  <c r="D67" i="87"/>
  <c r="B67" i="87" s="1"/>
  <c r="E66" i="87"/>
  <c r="D66" i="87"/>
  <c r="B66" i="87" s="1"/>
  <c r="E65" i="87"/>
  <c r="D65" i="87"/>
  <c r="B65" i="87" s="1"/>
  <c r="E64" i="87"/>
  <c r="D64" i="87"/>
  <c r="B64" i="87" s="1"/>
  <c r="E63" i="87"/>
  <c r="D63" i="87"/>
  <c r="B63" i="87"/>
  <c r="E62" i="87"/>
  <c r="D62" i="87"/>
  <c r="B62" i="87"/>
  <c r="E61" i="87"/>
  <c r="D61" i="87"/>
  <c r="B61" i="87" s="1"/>
  <c r="E60" i="87"/>
  <c r="D60" i="87"/>
  <c r="B60" i="87" s="1"/>
  <c r="E59" i="87"/>
  <c r="D59" i="87"/>
  <c r="B59" i="87" s="1"/>
  <c r="E58" i="87"/>
  <c r="D58" i="87"/>
  <c r="B58" i="87" s="1"/>
  <c r="E57" i="87"/>
  <c r="D57" i="87"/>
  <c r="B57" i="87" s="1"/>
  <c r="E56" i="87"/>
  <c r="D56" i="87"/>
  <c r="B56" i="87" s="1"/>
  <c r="E55" i="87"/>
  <c r="D55" i="87"/>
  <c r="B55" i="87"/>
  <c r="E54" i="87"/>
  <c r="D54" i="87"/>
  <c r="B54" i="87" s="1"/>
  <c r="E53" i="87"/>
  <c r="D53" i="87"/>
  <c r="B53" i="87" s="1"/>
  <c r="G47" i="87"/>
  <c r="R47" i="87" s="1"/>
  <c r="G46" i="87"/>
  <c r="R46" i="87" s="1"/>
  <c r="G45" i="87"/>
  <c r="R45" i="87" s="1"/>
  <c r="G44" i="87"/>
  <c r="G43" i="87"/>
  <c r="R42" i="87"/>
  <c r="G42" i="87"/>
  <c r="H42" i="87" s="1"/>
  <c r="G41" i="87"/>
  <c r="R41" i="87" s="1"/>
  <c r="G40" i="87"/>
  <c r="R40" i="87" s="1"/>
  <c r="G39" i="87"/>
  <c r="G38" i="87"/>
  <c r="R38" i="87" s="1"/>
  <c r="G37" i="87"/>
  <c r="R37" i="87" s="1"/>
  <c r="G36" i="87"/>
  <c r="G35" i="87"/>
  <c r="H35" i="87" s="1"/>
  <c r="G34" i="87"/>
  <c r="R34" i="87" s="1"/>
  <c r="G33" i="87"/>
  <c r="R33" i="87" s="1"/>
  <c r="G32" i="87"/>
  <c r="H32" i="87" s="1"/>
  <c r="G31" i="87"/>
  <c r="R31" i="87" s="1"/>
  <c r="G30" i="87"/>
  <c r="R30" i="87" s="1"/>
  <c r="G29" i="87"/>
  <c r="R29" i="87" s="1"/>
  <c r="G28" i="87"/>
  <c r="G27" i="87"/>
  <c r="R27" i="87" s="1"/>
  <c r="G26" i="87"/>
  <c r="R26" i="87" s="1"/>
  <c r="G25" i="87"/>
  <c r="R25" i="87" s="1"/>
  <c r="G24" i="87"/>
  <c r="G23" i="87"/>
  <c r="H23" i="87" s="1"/>
  <c r="G22" i="87"/>
  <c r="G21" i="87"/>
  <c r="R21" i="87" s="1"/>
  <c r="G20" i="87"/>
  <c r="R19" i="87"/>
  <c r="G19" i="87"/>
  <c r="H19" i="87" s="1"/>
  <c r="M53" i="87" s="1"/>
  <c r="G18" i="87"/>
  <c r="R18" i="87" s="1"/>
  <c r="E11" i="87"/>
  <c r="D97" i="87"/>
  <c r="F97" i="87" s="1"/>
  <c r="E10" i="87"/>
  <c r="F54" i="87"/>
  <c r="I135" i="86"/>
  <c r="H135" i="86"/>
  <c r="G135" i="86"/>
  <c r="F135" i="86"/>
  <c r="E135" i="86"/>
  <c r="I129" i="86"/>
  <c r="H129" i="86"/>
  <c r="G129" i="86"/>
  <c r="F129" i="86"/>
  <c r="E129" i="86"/>
  <c r="J126" i="86"/>
  <c r="I126" i="86"/>
  <c r="H126" i="86"/>
  <c r="G126" i="86"/>
  <c r="F126" i="86"/>
  <c r="E126" i="86"/>
  <c r="C126" i="86"/>
  <c r="J125" i="86"/>
  <c r="I125" i="86"/>
  <c r="H125" i="86"/>
  <c r="G125" i="86"/>
  <c r="F125" i="86"/>
  <c r="E125" i="86"/>
  <c r="C125" i="86"/>
  <c r="E67" i="86"/>
  <c r="D67" i="86"/>
  <c r="B67" i="86" s="1"/>
  <c r="E66" i="86"/>
  <c r="D66" i="86"/>
  <c r="B66" i="86" s="1"/>
  <c r="E65" i="86"/>
  <c r="D65" i="86"/>
  <c r="B65" i="86" s="1"/>
  <c r="E64" i="86"/>
  <c r="D64" i="86"/>
  <c r="B64" i="86" s="1"/>
  <c r="E63" i="86"/>
  <c r="D63" i="86"/>
  <c r="B63" i="86" s="1"/>
  <c r="E62" i="86"/>
  <c r="D62" i="86"/>
  <c r="B62" i="86" s="1"/>
  <c r="E61" i="86"/>
  <c r="D61" i="86"/>
  <c r="B61" i="86" s="1"/>
  <c r="E60" i="86"/>
  <c r="D60" i="86"/>
  <c r="B60" i="86"/>
  <c r="E59" i="86"/>
  <c r="D59" i="86"/>
  <c r="B59" i="86" s="1"/>
  <c r="E58" i="86"/>
  <c r="D58" i="86"/>
  <c r="B58" i="86" s="1"/>
  <c r="E57" i="86"/>
  <c r="D57" i="86"/>
  <c r="B57" i="86" s="1"/>
  <c r="E56" i="86"/>
  <c r="D56" i="86"/>
  <c r="E55" i="86"/>
  <c r="D55" i="86"/>
  <c r="B55" i="86" s="1"/>
  <c r="E54" i="86"/>
  <c r="D54" i="86"/>
  <c r="B54" i="86" s="1"/>
  <c r="E53" i="86"/>
  <c r="D53" i="86"/>
  <c r="B53" i="86" s="1"/>
  <c r="G47" i="86"/>
  <c r="R47" i="86" s="1"/>
  <c r="G46" i="86"/>
  <c r="R46" i="86" s="1"/>
  <c r="G45" i="86"/>
  <c r="G44" i="86"/>
  <c r="R44" i="86" s="1"/>
  <c r="G43" i="86"/>
  <c r="R43" i="86" s="1"/>
  <c r="G42" i="86"/>
  <c r="R42" i="86" s="1"/>
  <c r="G41" i="86"/>
  <c r="R41" i="86" s="1"/>
  <c r="G40" i="86"/>
  <c r="G39" i="86"/>
  <c r="R39" i="86" s="1"/>
  <c r="G38" i="86"/>
  <c r="R38" i="86" s="1"/>
  <c r="G37" i="86"/>
  <c r="G36" i="86"/>
  <c r="R36" i="86" s="1"/>
  <c r="G35" i="86"/>
  <c r="H35" i="86" s="1"/>
  <c r="G34" i="86"/>
  <c r="R34" i="86" s="1"/>
  <c r="G33" i="86"/>
  <c r="G32" i="86"/>
  <c r="H32" i="86" s="1"/>
  <c r="G31" i="86"/>
  <c r="R31" i="86" s="1"/>
  <c r="G30" i="86"/>
  <c r="R30" i="86" s="1"/>
  <c r="G29" i="86"/>
  <c r="G28" i="86"/>
  <c r="R28" i="86" s="1"/>
  <c r="G27" i="86"/>
  <c r="R27" i="86" s="1"/>
  <c r="G26" i="86"/>
  <c r="R26" i="86" s="1"/>
  <c r="R25" i="86"/>
  <c r="G25" i="86"/>
  <c r="G24" i="86"/>
  <c r="G23" i="86"/>
  <c r="R23" i="86" s="1"/>
  <c r="G22" i="86"/>
  <c r="R22" i="86" s="1"/>
  <c r="G21" i="86"/>
  <c r="G20" i="86"/>
  <c r="R20" i="86" s="1"/>
  <c r="G19" i="86"/>
  <c r="H19" i="86" s="1"/>
  <c r="G18" i="86"/>
  <c r="R18" i="86" s="1"/>
  <c r="E11" i="86"/>
  <c r="D97" i="86"/>
  <c r="E10" i="86"/>
  <c r="I135" i="85"/>
  <c r="H135" i="85"/>
  <c r="G135" i="85"/>
  <c r="F135" i="85"/>
  <c r="E135" i="85"/>
  <c r="I129" i="85"/>
  <c r="H129" i="85"/>
  <c r="G129" i="85"/>
  <c r="F129" i="85"/>
  <c r="E129" i="85"/>
  <c r="J126" i="85"/>
  <c r="I126" i="85"/>
  <c r="H126" i="85"/>
  <c r="G126" i="85"/>
  <c r="F126" i="85"/>
  <c r="E126" i="85"/>
  <c r="C126" i="85"/>
  <c r="J125" i="85"/>
  <c r="I125" i="85"/>
  <c r="H125" i="85"/>
  <c r="G125" i="85"/>
  <c r="F125" i="85"/>
  <c r="E125" i="85"/>
  <c r="C125" i="85"/>
  <c r="C105" i="85"/>
  <c r="G103" i="85"/>
  <c r="E102" i="85"/>
  <c r="C100" i="85"/>
  <c r="D98" i="85"/>
  <c r="D97" i="85"/>
  <c r="F97" i="85" s="1"/>
  <c r="C96" i="85"/>
  <c r="E67" i="85"/>
  <c r="G67" i="85" s="1"/>
  <c r="D67" i="85"/>
  <c r="B67" i="85" s="1"/>
  <c r="E66" i="85"/>
  <c r="D66" i="85"/>
  <c r="E65" i="85"/>
  <c r="D65" i="85"/>
  <c r="E64" i="85"/>
  <c r="D64" i="85"/>
  <c r="B64" i="85" s="1"/>
  <c r="E63" i="85"/>
  <c r="D63" i="85"/>
  <c r="B63" i="85" s="1"/>
  <c r="E62" i="85"/>
  <c r="D62" i="85"/>
  <c r="B62" i="85" s="1"/>
  <c r="E61" i="85"/>
  <c r="D61" i="85"/>
  <c r="E60" i="85"/>
  <c r="D60" i="85"/>
  <c r="B60" i="85" s="1"/>
  <c r="E59" i="85"/>
  <c r="D59" i="85"/>
  <c r="E58" i="85"/>
  <c r="D58" i="85"/>
  <c r="B58" i="85" s="1"/>
  <c r="E57" i="85"/>
  <c r="D57" i="85"/>
  <c r="E56" i="85"/>
  <c r="D56" i="85"/>
  <c r="B56" i="85" s="1"/>
  <c r="E55" i="85"/>
  <c r="D55" i="85"/>
  <c r="H55" i="85" s="1"/>
  <c r="E54" i="85"/>
  <c r="D54" i="85"/>
  <c r="E53" i="85"/>
  <c r="D53" i="85"/>
  <c r="B53" i="85" s="1"/>
  <c r="G47" i="85"/>
  <c r="R47" i="85" s="1"/>
  <c r="G46" i="85"/>
  <c r="R46" i="85" s="1"/>
  <c r="G45" i="85"/>
  <c r="G44" i="85"/>
  <c r="R44" i="85" s="1"/>
  <c r="G43" i="85"/>
  <c r="R43" i="85" s="1"/>
  <c r="G42" i="85"/>
  <c r="R42" i="85" s="1"/>
  <c r="G41" i="85"/>
  <c r="G40" i="85"/>
  <c r="R40" i="85" s="1"/>
  <c r="G39" i="85"/>
  <c r="R39" i="85" s="1"/>
  <c r="G38" i="85"/>
  <c r="R38" i="85" s="1"/>
  <c r="G37" i="85"/>
  <c r="G36" i="85"/>
  <c r="R36" i="85" s="1"/>
  <c r="R35" i="85"/>
  <c r="G35" i="85"/>
  <c r="G34" i="85"/>
  <c r="R34" i="85" s="1"/>
  <c r="G33" i="85"/>
  <c r="R32" i="85"/>
  <c r="G32" i="85"/>
  <c r="G31" i="85"/>
  <c r="R31" i="85" s="1"/>
  <c r="G30" i="85"/>
  <c r="R30" i="85" s="1"/>
  <c r="G29" i="85"/>
  <c r="G28" i="85"/>
  <c r="R28" i="85" s="1"/>
  <c r="G27" i="85"/>
  <c r="R27" i="85" s="1"/>
  <c r="G26" i="85"/>
  <c r="R26" i="85" s="1"/>
  <c r="G25" i="85"/>
  <c r="R24" i="85"/>
  <c r="G24" i="85"/>
  <c r="G23" i="85"/>
  <c r="R23" i="85" s="1"/>
  <c r="G22" i="85"/>
  <c r="R22" i="85" s="1"/>
  <c r="G21" i="85"/>
  <c r="G20" i="85"/>
  <c r="R20" i="85" s="1"/>
  <c r="R19" i="85"/>
  <c r="G19" i="85"/>
  <c r="G18" i="85"/>
  <c r="R18" i="85" s="1"/>
  <c r="F16" i="85"/>
  <c r="I103" i="85"/>
  <c r="I135" i="84"/>
  <c r="H135" i="84"/>
  <c r="G135" i="84"/>
  <c r="F135" i="84"/>
  <c r="E135" i="84"/>
  <c r="I129" i="84"/>
  <c r="H129" i="84"/>
  <c r="G129" i="84"/>
  <c r="F129" i="84"/>
  <c r="E129" i="84"/>
  <c r="J126" i="84"/>
  <c r="I126" i="84"/>
  <c r="H126" i="84"/>
  <c r="G126" i="84"/>
  <c r="F126" i="84"/>
  <c r="E126" i="84"/>
  <c r="C126" i="84"/>
  <c r="J125" i="84"/>
  <c r="I125" i="84"/>
  <c r="H125" i="84"/>
  <c r="G125" i="84"/>
  <c r="F125" i="84"/>
  <c r="E125" i="84"/>
  <c r="C125" i="84"/>
  <c r="I103" i="84"/>
  <c r="E67" i="84"/>
  <c r="D67" i="84"/>
  <c r="B67" i="84" s="1"/>
  <c r="E66" i="84"/>
  <c r="D66" i="84"/>
  <c r="E65" i="84"/>
  <c r="D65" i="84"/>
  <c r="B65" i="84" s="1"/>
  <c r="E64" i="84"/>
  <c r="D64" i="84"/>
  <c r="B64" i="84" s="1"/>
  <c r="E63" i="84"/>
  <c r="D63" i="84"/>
  <c r="E62" i="84"/>
  <c r="D62" i="84"/>
  <c r="E61" i="84"/>
  <c r="D61" i="84"/>
  <c r="B61" i="84" s="1"/>
  <c r="E60" i="84"/>
  <c r="D60" i="84"/>
  <c r="B60" i="84" s="1"/>
  <c r="E59" i="84"/>
  <c r="D59" i="84"/>
  <c r="E58" i="84"/>
  <c r="D58" i="84"/>
  <c r="E57" i="84"/>
  <c r="D57" i="84"/>
  <c r="B57" i="84"/>
  <c r="E56" i="84"/>
  <c r="D56" i="84"/>
  <c r="E55" i="84"/>
  <c r="D55" i="84"/>
  <c r="B55" i="84" s="1"/>
  <c r="E54" i="84"/>
  <c r="D54" i="84"/>
  <c r="B54" i="84" s="1"/>
  <c r="E53" i="84"/>
  <c r="D53" i="84"/>
  <c r="B53" i="84" s="1"/>
  <c r="G47" i="84"/>
  <c r="R47" i="84" s="1"/>
  <c r="G46" i="84"/>
  <c r="H46" i="84" s="1"/>
  <c r="G45" i="84"/>
  <c r="R45" i="84" s="1"/>
  <c r="H44" i="84"/>
  <c r="G44" i="84"/>
  <c r="R44" i="84" s="1"/>
  <c r="G43" i="84"/>
  <c r="R43" i="84" s="1"/>
  <c r="G42" i="84"/>
  <c r="H42" i="84" s="1"/>
  <c r="G41" i="84"/>
  <c r="R41" i="84" s="1"/>
  <c r="G40" i="84"/>
  <c r="R40" i="84" s="1"/>
  <c r="G39" i="84"/>
  <c r="R39" i="84" s="1"/>
  <c r="G38" i="84"/>
  <c r="H38" i="84" s="1"/>
  <c r="R37" i="84"/>
  <c r="H37" i="84"/>
  <c r="G37" i="84"/>
  <c r="G36" i="84"/>
  <c r="R36" i="84" s="1"/>
  <c r="G35" i="84"/>
  <c r="R35" i="84" s="1"/>
  <c r="G34" i="84"/>
  <c r="H33" i="84"/>
  <c r="G33" i="84"/>
  <c r="R33" i="84" s="1"/>
  <c r="G32" i="84"/>
  <c r="R32" i="84" s="1"/>
  <c r="G31" i="84"/>
  <c r="R31" i="84" s="1"/>
  <c r="G30" i="84"/>
  <c r="H30" i="84" s="1"/>
  <c r="G29" i="84"/>
  <c r="R29" i="84" s="1"/>
  <c r="H28" i="84"/>
  <c r="G28" i="84"/>
  <c r="R28" i="84" s="1"/>
  <c r="G27" i="84"/>
  <c r="R27" i="84" s="1"/>
  <c r="G26" i="84"/>
  <c r="H26" i="84" s="1"/>
  <c r="R25" i="84"/>
  <c r="G25" i="84"/>
  <c r="H25" i="84" s="1"/>
  <c r="H24" i="84"/>
  <c r="G24" i="84"/>
  <c r="R24" i="84" s="1"/>
  <c r="G23" i="84"/>
  <c r="R23" i="84" s="1"/>
  <c r="G22" i="84"/>
  <c r="H22" i="84" s="1"/>
  <c r="R21" i="84"/>
  <c r="G21" i="84"/>
  <c r="H21" i="84" s="1"/>
  <c r="G20" i="84"/>
  <c r="R20" i="84" s="1"/>
  <c r="G19" i="84"/>
  <c r="R19" i="84" s="1"/>
  <c r="G18" i="84"/>
  <c r="R18" i="84" s="1"/>
  <c r="D98" i="84"/>
  <c r="D97" i="84"/>
  <c r="F97" i="84" s="1"/>
  <c r="I135" i="83"/>
  <c r="H135" i="83"/>
  <c r="G135" i="83"/>
  <c r="F135" i="83"/>
  <c r="E135" i="83"/>
  <c r="I129" i="83"/>
  <c r="H129" i="83"/>
  <c r="G129" i="83"/>
  <c r="F129" i="83"/>
  <c r="E129" i="83"/>
  <c r="J126" i="83"/>
  <c r="I126" i="83"/>
  <c r="H126" i="83"/>
  <c r="G126" i="83"/>
  <c r="F126" i="83"/>
  <c r="E126" i="83"/>
  <c r="C126" i="83"/>
  <c r="J125" i="83"/>
  <c r="I125" i="83"/>
  <c r="H125" i="83"/>
  <c r="G125" i="83"/>
  <c r="F125" i="83"/>
  <c r="E125" i="83"/>
  <c r="C125" i="83"/>
  <c r="I103" i="83"/>
  <c r="E67" i="83"/>
  <c r="D67" i="83"/>
  <c r="B67" i="83" s="1"/>
  <c r="E66" i="83"/>
  <c r="D66" i="83"/>
  <c r="B66" i="83" s="1"/>
  <c r="E65" i="83"/>
  <c r="D65" i="83"/>
  <c r="B65" i="83" s="1"/>
  <c r="E64" i="83"/>
  <c r="D64" i="83"/>
  <c r="B64" i="83" s="1"/>
  <c r="E63" i="83"/>
  <c r="D63" i="83"/>
  <c r="B63" i="83" s="1"/>
  <c r="E62" i="83"/>
  <c r="D62" i="83"/>
  <c r="B62" i="83" s="1"/>
  <c r="E61" i="83"/>
  <c r="D61" i="83"/>
  <c r="B61" i="83" s="1"/>
  <c r="E60" i="83"/>
  <c r="D60" i="83"/>
  <c r="E59" i="83"/>
  <c r="D59" i="83"/>
  <c r="E58" i="83"/>
  <c r="D58" i="83"/>
  <c r="B58" i="83" s="1"/>
  <c r="E57" i="83"/>
  <c r="D57" i="83"/>
  <c r="E56" i="83"/>
  <c r="D56" i="83"/>
  <c r="E55" i="83"/>
  <c r="D55" i="83"/>
  <c r="E54" i="83"/>
  <c r="D54" i="83"/>
  <c r="E53" i="83"/>
  <c r="D53" i="83"/>
  <c r="B53" i="83" s="1"/>
  <c r="G47" i="83"/>
  <c r="G46" i="83"/>
  <c r="G45" i="83"/>
  <c r="H45" i="83" s="1"/>
  <c r="G44" i="83"/>
  <c r="R44" i="83" s="1"/>
  <c r="G43" i="83"/>
  <c r="G42" i="83"/>
  <c r="R41" i="83"/>
  <c r="G41" i="83"/>
  <c r="G40" i="83"/>
  <c r="R40" i="83" s="1"/>
  <c r="G39" i="83"/>
  <c r="G38" i="83"/>
  <c r="H38" i="83" s="1"/>
  <c r="G37" i="83"/>
  <c r="R37" i="83" s="1"/>
  <c r="G36" i="83"/>
  <c r="R36" i="83" s="1"/>
  <c r="G35" i="83"/>
  <c r="R34" i="83"/>
  <c r="G34" i="83"/>
  <c r="G33" i="83"/>
  <c r="R33" i="83" s="1"/>
  <c r="G32" i="83"/>
  <c r="R32" i="83" s="1"/>
  <c r="G31" i="83"/>
  <c r="G30" i="83"/>
  <c r="G29" i="83"/>
  <c r="R29" i="83" s="1"/>
  <c r="G28" i="83"/>
  <c r="R28" i="83" s="1"/>
  <c r="G27" i="83"/>
  <c r="G26" i="83"/>
  <c r="H26" i="83" s="1"/>
  <c r="R25" i="83"/>
  <c r="G25" i="83"/>
  <c r="G24" i="83"/>
  <c r="R24" i="83" s="1"/>
  <c r="G23" i="83"/>
  <c r="G22" i="83"/>
  <c r="H22" i="83" s="1"/>
  <c r="G21" i="83"/>
  <c r="R21" i="83" s="1"/>
  <c r="G20" i="83"/>
  <c r="R20" i="83" s="1"/>
  <c r="G19" i="83"/>
  <c r="G18" i="83"/>
  <c r="R18" i="83" s="1"/>
  <c r="D97" i="83"/>
  <c r="D7" i="47"/>
  <c r="D10" i="47"/>
  <c r="H103" i="47" s="1"/>
  <c r="D50" i="83" l="1"/>
  <c r="C12" i="83"/>
  <c r="R29" i="90"/>
  <c r="R33" i="90"/>
  <c r="R21" i="89"/>
  <c r="H19" i="89"/>
  <c r="M53" i="89" s="1"/>
  <c r="H33" i="89"/>
  <c r="I55" i="88"/>
  <c r="H40" i="84"/>
  <c r="I58" i="84"/>
  <c r="E11" i="90"/>
  <c r="E52" i="89"/>
  <c r="J102" i="85"/>
  <c r="E131" i="91"/>
  <c r="E131" i="84"/>
  <c r="H74" i="85"/>
  <c r="H56" i="86"/>
  <c r="H73" i="88"/>
  <c r="F17" i="90"/>
  <c r="E11" i="85"/>
  <c r="F16" i="87"/>
  <c r="E16" i="89"/>
  <c r="H56" i="84"/>
  <c r="H54" i="85"/>
  <c r="G130" i="87"/>
  <c r="R17" i="87"/>
  <c r="G65" i="88"/>
  <c r="J99" i="88"/>
  <c r="E17" i="89"/>
  <c r="H63" i="84"/>
  <c r="E16" i="85"/>
  <c r="F16" i="88"/>
  <c r="D52" i="88"/>
  <c r="I57" i="91"/>
  <c r="E102" i="90"/>
  <c r="G130" i="89"/>
  <c r="H54" i="83"/>
  <c r="H55" i="83"/>
  <c r="E103" i="47"/>
  <c r="G103" i="47"/>
  <c r="H34" i="91"/>
  <c r="H46" i="91"/>
  <c r="R18" i="91"/>
  <c r="H22" i="91"/>
  <c r="R34" i="91"/>
  <c r="H38" i="91"/>
  <c r="H44" i="91"/>
  <c r="R46" i="91"/>
  <c r="R30" i="91"/>
  <c r="R22" i="91"/>
  <c r="H26" i="91"/>
  <c r="H42" i="91"/>
  <c r="I58" i="91"/>
  <c r="H21" i="90"/>
  <c r="M54" i="90" s="1"/>
  <c r="H23" i="90"/>
  <c r="H41" i="90"/>
  <c r="M64" i="90" s="1"/>
  <c r="H45" i="90"/>
  <c r="H24" i="90"/>
  <c r="N56" i="90" s="1"/>
  <c r="H37" i="90"/>
  <c r="D125" i="90"/>
  <c r="H20" i="89"/>
  <c r="H29" i="89"/>
  <c r="H31" i="89"/>
  <c r="H40" i="89"/>
  <c r="H25" i="89"/>
  <c r="H27" i="89"/>
  <c r="H32" i="89"/>
  <c r="H37" i="89"/>
  <c r="N62" i="89" s="1"/>
  <c r="H44" i="89"/>
  <c r="H46" i="89"/>
  <c r="H23" i="89"/>
  <c r="H28" i="89"/>
  <c r="H35" i="89"/>
  <c r="R44" i="89"/>
  <c r="H59" i="88"/>
  <c r="H63" i="88"/>
  <c r="I60" i="88"/>
  <c r="H28" i="87"/>
  <c r="R35" i="87"/>
  <c r="H20" i="87"/>
  <c r="R23" i="87"/>
  <c r="R32" i="87"/>
  <c r="H24" i="87"/>
  <c r="H39" i="87"/>
  <c r="H22" i="87"/>
  <c r="M55" i="87" s="1"/>
  <c r="R28" i="87"/>
  <c r="H31" i="87"/>
  <c r="H36" i="87"/>
  <c r="R39" i="87"/>
  <c r="H24" i="86"/>
  <c r="H29" i="86"/>
  <c r="R32" i="86"/>
  <c r="H40" i="86"/>
  <c r="N64" i="86" s="1"/>
  <c r="H45" i="86"/>
  <c r="I58" i="86"/>
  <c r="H21" i="86"/>
  <c r="H25" i="86"/>
  <c r="H33" i="86"/>
  <c r="H37" i="86"/>
  <c r="H41" i="86"/>
  <c r="H28" i="86"/>
  <c r="N58" i="86" s="1"/>
  <c r="H44" i="86"/>
  <c r="H62" i="85"/>
  <c r="B54" i="85"/>
  <c r="H20" i="84"/>
  <c r="H29" i="84"/>
  <c r="H36" i="84"/>
  <c r="H45" i="84"/>
  <c r="N66" i="84" s="1"/>
  <c r="H32" i="84"/>
  <c r="H34" i="84"/>
  <c r="H41" i="84"/>
  <c r="N64" i="84" s="1"/>
  <c r="I57" i="84"/>
  <c r="H59" i="84"/>
  <c r="I57" i="83"/>
  <c r="B57" i="83"/>
  <c r="H57" i="83"/>
  <c r="H30" i="83"/>
  <c r="H34" i="83"/>
  <c r="H42" i="83"/>
  <c r="R45" i="83"/>
  <c r="H21" i="83"/>
  <c r="H37" i="83"/>
  <c r="H46" i="83"/>
  <c r="H25" i="83"/>
  <c r="H41" i="83"/>
  <c r="G66" i="88"/>
  <c r="F53" i="88"/>
  <c r="L53" i="88" s="1"/>
  <c r="G55" i="88"/>
  <c r="G64" i="88"/>
  <c r="G56" i="86"/>
  <c r="E17" i="87"/>
  <c r="D52" i="87"/>
  <c r="J99" i="87"/>
  <c r="R17" i="85"/>
  <c r="E50" i="85"/>
  <c r="D52" i="85"/>
  <c r="H73" i="85"/>
  <c r="G64" i="85"/>
  <c r="I102" i="85"/>
  <c r="E10" i="85"/>
  <c r="H21" i="91"/>
  <c r="H25" i="91"/>
  <c r="M56" i="91" s="1"/>
  <c r="H29" i="91"/>
  <c r="N58" i="91" s="1"/>
  <c r="H33" i="91"/>
  <c r="H37" i="91"/>
  <c r="B57" i="91"/>
  <c r="H20" i="91"/>
  <c r="H24" i="91"/>
  <c r="H28" i="91"/>
  <c r="H32" i="91"/>
  <c r="N60" i="91" s="1"/>
  <c r="H36" i="91"/>
  <c r="H40" i="91"/>
  <c r="R42" i="91"/>
  <c r="H56" i="91"/>
  <c r="I62" i="91"/>
  <c r="H32" i="90"/>
  <c r="R45" i="90"/>
  <c r="H19" i="90"/>
  <c r="N53" i="90" s="1"/>
  <c r="R24" i="90"/>
  <c r="R28" i="90"/>
  <c r="R41" i="90"/>
  <c r="H44" i="90"/>
  <c r="N54" i="90"/>
  <c r="J104" i="90"/>
  <c r="H102" i="90"/>
  <c r="R36" i="89"/>
  <c r="H43" i="89"/>
  <c r="R18" i="89"/>
  <c r="R20" i="89"/>
  <c r="R24" i="89"/>
  <c r="R28" i="89"/>
  <c r="R32" i="89"/>
  <c r="H39" i="89"/>
  <c r="H41" i="89"/>
  <c r="H45" i="89"/>
  <c r="N66" i="89" s="1"/>
  <c r="I56" i="88"/>
  <c r="I57" i="88"/>
  <c r="I59" i="88"/>
  <c r="I63" i="88"/>
  <c r="I54" i="88"/>
  <c r="B55" i="88"/>
  <c r="H56" i="88"/>
  <c r="B60" i="88"/>
  <c r="B63" i="88"/>
  <c r="I67" i="88"/>
  <c r="R24" i="87"/>
  <c r="H27" i="87"/>
  <c r="H46" i="87"/>
  <c r="R20" i="87"/>
  <c r="R36" i="87"/>
  <c r="J70" i="87"/>
  <c r="J73" i="87" s="1"/>
  <c r="H20" i="86"/>
  <c r="R24" i="86"/>
  <c r="R33" i="86"/>
  <c r="H36" i="86"/>
  <c r="N62" i="86" s="1"/>
  <c r="R40" i="86"/>
  <c r="R21" i="86"/>
  <c r="R37" i="86"/>
  <c r="I62" i="86"/>
  <c r="R29" i="86"/>
  <c r="R45" i="86"/>
  <c r="I59" i="85"/>
  <c r="I66" i="85"/>
  <c r="B55" i="85"/>
  <c r="I56" i="85"/>
  <c r="H58" i="85"/>
  <c r="I62" i="85"/>
  <c r="B59" i="85"/>
  <c r="R22" i="84"/>
  <c r="R26" i="84"/>
  <c r="R30" i="84"/>
  <c r="R34" i="84"/>
  <c r="R38" i="84"/>
  <c r="R42" i="84"/>
  <c r="R46" i="84"/>
  <c r="N54" i="84"/>
  <c r="B58" i="84"/>
  <c r="R30" i="83"/>
  <c r="H33" i="83"/>
  <c r="H44" i="83"/>
  <c r="N66" i="83" s="1"/>
  <c r="R26" i="83"/>
  <c r="H29" i="83"/>
  <c r="R42" i="83"/>
  <c r="R46" i="83"/>
  <c r="R22" i="83"/>
  <c r="R38" i="83"/>
  <c r="I56" i="83"/>
  <c r="I59" i="83"/>
  <c r="N66" i="91"/>
  <c r="C102" i="91"/>
  <c r="J100" i="91"/>
  <c r="K74" i="91"/>
  <c r="K73" i="91"/>
  <c r="K70" i="91"/>
  <c r="C99" i="91"/>
  <c r="C105" i="91"/>
  <c r="C104" i="91"/>
  <c r="C100" i="91"/>
  <c r="H74" i="91"/>
  <c r="H73" i="91"/>
  <c r="H70" i="91"/>
  <c r="D50" i="91"/>
  <c r="H57" i="91"/>
  <c r="G60" i="91"/>
  <c r="H62" i="91"/>
  <c r="H64" i="91"/>
  <c r="I67" i="91"/>
  <c r="H103" i="91"/>
  <c r="G103" i="91"/>
  <c r="D96" i="91"/>
  <c r="F103" i="91"/>
  <c r="E11" i="91"/>
  <c r="E16" i="91"/>
  <c r="R17" i="91"/>
  <c r="H19" i="91"/>
  <c r="H23" i="91"/>
  <c r="H27" i="91"/>
  <c r="H31" i="91"/>
  <c r="H35" i="91"/>
  <c r="H39" i="91"/>
  <c r="H43" i="91"/>
  <c r="H47" i="91"/>
  <c r="E50" i="91"/>
  <c r="I53" i="91"/>
  <c r="I54" i="91"/>
  <c r="I55" i="91"/>
  <c r="B58" i="91"/>
  <c r="H58" i="91"/>
  <c r="G59" i="91"/>
  <c r="I60" i="91"/>
  <c r="H61" i="91"/>
  <c r="G63" i="91"/>
  <c r="I64" i="91"/>
  <c r="H65" i="91"/>
  <c r="G67" i="91"/>
  <c r="J97" i="91"/>
  <c r="G130" i="91"/>
  <c r="F17" i="91"/>
  <c r="G53" i="91"/>
  <c r="H54" i="91"/>
  <c r="H55" i="91"/>
  <c r="I56" i="91"/>
  <c r="G58" i="91"/>
  <c r="I63" i="91"/>
  <c r="G66" i="91"/>
  <c r="E10" i="91"/>
  <c r="F16" i="91"/>
  <c r="D52" i="91"/>
  <c r="F54" i="91"/>
  <c r="F55" i="91"/>
  <c r="G56" i="91"/>
  <c r="I59" i="91"/>
  <c r="H60" i="91"/>
  <c r="G62" i="91"/>
  <c r="G64" i="91"/>
  <c r="I65" i="91"/>
  <c r="H66" i="91"/>
  <c r="J99" i="91"/>
  <c r="H102" i="91"/>
  <c r="J104" i="91"/>
  <c r="I97" i="91"/>
  <c r="E97" i="91"/>
  <c r="H97" i="91"/>
  <c r="G97" i="91"/>
  <c r="I61" i="91"/>
  <c r="H131" i="91"/>
  <c r="F130" i="91"/>
  <c r="J105" i="91"/>
  <c r="G102" i="91"/>
  <c r="D99" i="91"/>
  <c r="D103" i="91" s="1"/>
  <c r="F67" i="91"/>
  <c r="F66" i="91"/>
  <c r="F65" i="91"/>
  <c r="L65" i="91" s="1"/>
  <c r="F64" i="91"/>
  <c r="F63" i="91"/>
  <c r="F62" i="91"/>
  <c r="L62" i="91" s="1"/>
  <c r="F61" i="91"/>
  <c r="L61" i="91" s="1"/>
  <c r="F60" i="91"/>
  <c r="L60" i="91" s="1"/>
  <c r="F59" i="91"/>
  <c r="L59" i="91" s="1"/>
  <c r="F58" i="91"/>
  <c r="L58" i="91" s="1"/>
  <c r="F57" i="91"/>
  <c r="L57" i="91" s="1"/>
  <c r="F56" i="91"/>
  <c r="L56" i="91" s="1"/>
  <c r="G131" i="91"/>
  <c r="I130" i="91"/>
  <c r="E130" i="91"/>
  <c r="J102" i="91"/>
  <c r="F102" i="91"/>
  <c r="D100" i="91"/>
  <c r="E105" i="91" s="1"/>
  <c r="F131" i="91"/>
  <c r="H130" i="91"/>
  <c r="D126" i="91"/>
  <c r="D125" i="91"/>
  <c r="I102" i="91"/>
  <c r="E102" i="91"/>
  <c r="C97" i="91"/>
  <c r="C96" i="91"/>
  <c r="E9" i="91"/>
  <c r="E17" i="91"/>
  <c r="N56" i="91"/>
  <c r="H41" i="91"/>
  <c r="E52" i="91"/>
  <c r="F53" i="91"/>
  <c r="G54" i="91"/>
  <c r="J54" i="91" s="1"/>
  <c r="G55" i="91"/>
  <c r="B56" i="91"/>
  <c r="J70" i="91" s="1"/>
  <c r="G57" i="91"/>
  <c r="H59" i="91"/>
  <c r="M60" i="91"/>
  <c r="G61" i="91"/>
  <c r="H63" i="91"/>
  <c r="G65" i="91"/>
  <c r="I66" i="91"/>
  <c r="H67" i="91"/>
  <c r="J96" i="91"/>
  <c r="C101" i="91"/>
  <c r="E103" i="91"/>
  <c r="I131" i="91"/>
  <c r="E16" i="90"/>
  <c r="I55" i="90"/>
  <c r="H58" i="90"/>
  <c r="H59" i="90"/>
  <c r="R30" i="90"/>
  <c r="H30" i="90"/>
  <c r="H55" i="90"/>
  <c r="R22" i="90"/>
  <c r="H22" i="90"/>
  <c r="H31" i="90"/>
  <c r="M60" i="90" s="1"/>
  <c r="N60" i="90"/>
  <c r="H35" i="90"/>
  <c r="M62" i="90" s="1"/>
  <c r="N62" i="90"/>
  <c r="H39" i="90"/>
  <c r="N64" i="90"/>
  <c r="H43" i="90"/>
  <c r="H47" i="90"/>
  <c r="H54" i="90"/>
  <c r="G61" i="90"/>
  <c r="G66" i="90"/>
  <c r="H67" i="90"/>
  <c r="C102" i="90"/>
  <c r="J100" i="90"/>
  <c r="K74" i="90"/>
  <c r="K73" i="90"/>
  <c r="K70" i="90"/>
  <c r="C99" i="90"/>
  <c r="J97" i="90"/>
  <c r="J96" i="90"/>
  <c r="E52" i="90"/>
  <c r="E17" i="90"/>
  <c r="C105" i="90"/>
  <c r="C104" i="90"/>
  <c r="C100" i="90"/>
  <c r="H74" i="90"/>
  <c r="D52" i="90"/>
  <c r="F16" i="90"/>
  <c r="J99" i="90"/>
  <c r="H103" i="90"/>
  <c r="G103" i="90"/>
  <c r="D96" i="90"/>
  <c r="E103" i="90"/>
  <c r="I103" i="90"/>
  <c r="H66" i="90"/>
  <c r="G65" i="90"/>
  <c r="H62" i="90"/>
  <c r="N55" i="90"/>
  <c r="R34" i="90"/>
  <c r="H34" i="90"/>
  <c r="R38" i="90"/>
  <c r="H38" i="90"/>
  <c r="R42" i="90"/>
  <c r="H42" i="90"/>
  <c r="R46" i="90"/>
  <c r="H46" i="90"/>
  <c r="E50" i="90"/>
  <c r="G53" i="90"/>
  <c r="I56" i="90"/>
  <c r="H56" i="90"/>
  <c r="B56" i="90"/>
  <c r="G58" i="90"/>
  <c r="I64" i="90"/>
  <c r="H64" i="90"/>
  <c r="B64" i="90"/>
  <c r="H73" i="90"/>
  <c r="F103" i="90"/>
  <c r="D126" i="90"/>
  <c r="I97" i="90"/>
  <c r="E97" i="90"/>
  <c r="H97" i="90"/>
  <c r="G97" i="90"/>
  <c r="F97" i="90"/>
  <c r="H27" i="90"/>
  <c r="I53" i="90"/>
  <c r="F131" i="90"/>
  <c r="R17" i="90"/>
  <c r="R26" i="90"/>
  <c r="H26" i="90"/>
  <c r="D50" i="90"/>
  <c r="I54" i="90"/>
  <c r="M55" i="90"/>
  <c r="G57" i="90"/>
  <c r="I59" i="90"/>
  <c r="I60" i="90"/>
  <c r="H60" i="90"/>
  <c r="B60" i="90"/>
  <c r="G62" i="90"/>
  <c r="H63" i="90"/>
  <c r="H70" i="90"/>
  <c r="E131" i="90"/>
  <c r="I63" i="90"/>
  <c r="I67" i="90"/>
  <c r="E10" i="90"/>
  <c r="F54" i="90"/>
  <c r="F55" i="90"/>
  <c r="G56" i="90"/>
  <c r="H57" i="90"/>
  <c r="I58" i="90"/>
  <c r="G60" i="90"/>
  <c r="H61" i="90"/>
  <c r="I62" i="90"/>
  <c r="G64" i="90"/>
  <c r="H65" i="90"/>
  <c r="I66" i="90"/>
  <c r="I102" i="90"/>
  <c r="H131" i="90"/>
  <c r="F130" i="90"/>
  <c r="J105" i="90"/>
  <c r="G102" i="90"/>
  <c r="D99" i="90"/>
  <c r="F67" i="90"/>
  <c r="F66" i="90"/>
  <c r="F65" i="90"/>
  <c r="F64" i="90"/>
  <c r="F63" i="90"/>
  <c r="F62" i="90"/>
  <c r="F61" i="90"/>
  <c r="F60" i="90"/>
  <c r="F59" i="90"/>
  <c r="L59" i="90" s="1"/>
  <c r="F58" i="90"/>
  <c r="F57" i="90"/>
  <c r="F56" i="90"/>
  <c r="L56" i="90" s="1"/>
  <c r="G131" i="90"/>
  <c r="I130" i="90"/>
  <c r="E130" i="90"/>
  <c r="J102" i="90"/>
  <c r="F102" i="90"/>
  <c r="D100" i="90"/>
  <c r="E105" i="90" s="1"/>
  <c r="E9" i="90"/>
  <c r="N58" i="90"/>
  <c r="M58" i="90"/>
  <c r="F53" i="90"/>
  <c r="G54" i="90"/>
  <c r="G55" i="90"/>
  <c r="I57" i="90"/>
  <c r="G59" i="90"/>
  <c r="I61" i="90"/>
  <c r="G63" i="90"/>
  <c r="I65" i="90"/>
  <c r="G67" i="90"/>
  <c r="C101" i="90"/>
  <c r="G130" i="90"/>
  <c r="I131" i="90"/>
  <c r="N67" i="89"/>
  <c r="M67" i="89"/>
  <c r="G54" i="89"/>
  <c r="G56" i="89"/>
  <c r="G58" i="89"/>
  <c r="G60" i="89"/>
  <c r="G62" i="89"/>
  <c r="H64" i="89"/>
  <c r="E10" i="89"/>
  <c r="F16" i="89"/>
  <c r="H22" i="89"/>
  <c r="H26" i="89"/>
  <c r="M57" i="89" s="1"/>
  <c r="H30" i="89"/>
  <c r="M59" i="89" s="1"/>
  <c r="H34" i="89"/>
  <c r="M61" i="89" s="1"/>
  <c r="H38" i="89"/>
  <c r="H42" i="89"/>
  <c r="M65" i="89" s="1"/>
  <c r="B53" i="89"/>
  <c r="J70" i="89" s="1"/>
  <c r="H54" i="89"/>
  <c r="H55" i="89"/>
  <c r="H56" i="89"/>
  <c r="H57" i="89"/>
  <c r="H58" i="89"/>
  <c r="H59" i="89"/>
  <c r="H60" i="89"/>
  <c r="H61" i="89"/>
  <c r="H62" i="89"/>
  <c r="G63" i="89"/>
  <c r="I64" i="89"/>
  <c r="H65" i="89"/>
  <c r="G67" i="89"/>
  <c r="J97" i="89"/>
  <c r="H103" i="89"/>
  <c r="G103" i="89"/>
  <c r="D96" i="89"/>
  <c r="F103" i="89"/>
  <c r="N63" i="89"/>
  <c r="I53" i="89"/>
  <c r="G57" i="89"/>
  <c r="G61" i="89"/>
  <c r="G66" i="89"/>
  <c r="I103" i="89"/>
  <c r="H131" i="89"/>
  <c r="F130" i="89"/>
  <c r="J105" i="89"/>
  <c r="G102" i="89"/>
  <c r="D99" i="89"/>
  <c r="D103" i="89" s="1"/>
  <c r="F67" i="89"/>
  <c r="F66" i="89"/>
  <c r="L66" i="89" s="1"/>
  <c r="F65" i="89"/>
  <c r="F64" i="89"/>
  <c r="F63" i="89"/>
  <c r="G131" i="89"/>
  <c r="I130" i="89"/>
  <c r="E130" i="89"/>
  <c r="J102" i="89"/>
  <c r="F102" i="89"/>
  <c r="D100" i="89"/>
  <c r="I105" i="89" s="1"/>
  <c r="F131" i="89"/>
  <c r="H130" i="89"/>
  <c r="D126" i="89"/>
  <c r="D125" i="89"/>
  <c r="I102" i="89"/>
  <c r="E102" i="89"/>
  <c r="C97" i="89"/>
  <c r="C96" i="89"/>
  <c r="G53" i="89"/>
  <c r="E9" i="89"/>
  <c r="M54" i="89"/>
  <c r="M56" i="89"/>
  <c r="M60" i="89"/>
  <c r="M64" i="89"/>
  <c r="E50" i="89"/>
  <c r="I54" i="89"/>
  <c r="I55" i="89"/>
  <c r="I56" i="89"/>
  <c r="I57" i="89"/>
  <c r="I58" i="89"/>
  <c r="I59" i="89"/>
  <c r="I60" i="89"/>
  <c r="I61" i="89"/>
  <c r="I62" i="89"/>
  <c r="G64" i="89"/>
  <c r="I65" i="89"/>
  <c r="H66" i="89"/>
  <c r="H102" i="89"/>
  <c r="J104" i="89"/>
  <c r="E131" i="89"/>
  <c r="M55" i="89"/>
  <c r="G55" i="89"/>
  <c r="G59" i="89"/>
  <c r="I63" i="89"/>
  <c r="C102" i="89"/>
  <c r="J100" i="89"/>
  <c r="K74" i="89"/>
  <c r="K73" i="89"/>
  <c r="K70" i="89"/>
  <c r="C99" i="89"/>
  <c r="C105" i="89"/>
  <c r="C104" i="89"/>
  <c r="C100" i="89"/>
  <c r="H74" i="89"/>
  <c r="H73" i="89"/>
  <c r="H70" i="89"/>
  <c r="D50" i="89"/>
  <c r="I97" i="89"/>
  <c r="E97" i="89"/>
  <c r="H97" i="89"/>
  <c r="G97" i="89"/>
  <c r="F17" i="89"/>
  <c r="D52" i="89"/>
  <c r="F53" i="89"/>
  <c r="N53" i="89"/>
  <c r="F54" i="89"/>
  <c r="N54" i="89"/>
  <c r="F55" i="89"/>
  <c r="N55" i="89"/>
  <c r="F56" i="89"/>
  <c r="N56" i="89"/>
  <c r="F57" i="89"/>
  <c r="N57" i="89"/>
  <c r="F58" i="89"/>
  <c r="N58" i="89"/>
  <c r="F59" i="89"/>
  <c r="F60" i="89"/>
  <c r="N60" i="89"/>
  <c r="F61" i="89"/>
  <c r="F62" i="89"/>
  <c r="H63" i="89"/>
  <c r="G65" i="89"/>
  <c r="I66" i="89"/>
  <c r="I67" i="89"/>
  <c r="J96" i="89"/>
  <c r="C101" i="89"/>
  <c r="E103" i="89"/>
  <c r="I131" i="89"/>
  <c r="H67" i="89"/>
  <c r="H62" i="88"/>
  <c r="B62" i="88"/>
  <c r="D125" i="88"/>
  <c r="G61" i="88"/>
  <c r="H131" i="88"/>
  <c r="F130" i="88"/>
  <c r="J105" i="88"/>
  <c r="G102" i="88"/>
  <c r="D99" i="88"/>
  <c r="D103" i="88" s="1"/>
  <c r="F67" i="88"/>
  <c r="L67" i="88" s="1"/>
  <c r="F66" i="88"/>
  <c r="L66" i="88" s="1"/>
  <c r="F65" i="88"/>
  <c r="F64" i="88"/>
  <c r="L64" i="88" s="1"/>
  <c r="F63" i="88"/>
  <c r="L63" i="88" s="1"/>
  <c r="F62" i="88"/>
  <c r="L62" i="88" s="1"/>
  <c r="F61" i="88"/>
  <c r="L61" i="88" s="1"/>
  <c r="F60" i="88"/>
  <c r="F59" i="88"/>
  <c r="L59" i="88" s="1"/>
  <c r="F58" i="88"/>
  <c r="F57" i="88"/>
  <c r="F56" i="88"/>
  <c r="L56" i="88" s="1"/>
  <c r="G131" i="88"/>
  <c r="I130" i="88"/>
  <c r="E130" i="88"/>
  <c r="J102" i="88"/>
  <c r="F102" i="88"/>
  <c r="D100" i="88"/>
  <c r="H105" i="88" s="1"/>
  <c r="I131" i="88"/>
  <c r="G130" i="88"/>
  <c r="C101" i="88"/>
  <c r="G67" i="88"/>
  <c r="G63" i="88"/>
  <c r="G59" i="88"/>
  <c r="E11" i="88"/>
  <c r="H102" i="88"/>
  <c r="F131" i="88"/>
  <c r="I102" i="88"/>
  <c r="H65" i="88"/>
  <c r="G62" i="88"/>
  <c r="H61" i="88"/>
  <c r="G58" i="88"/>
  <c r="H57" i="88"/>
  <c r="G53" i="88"/>
  <c r="E131" i="88"/>
  <c r="J104" i="88"/>
  <c r="C97" i="88"/>
  <c r="H130" i="88"/>
  <c r="D126" i="88"/>
  <c r="H21" i="88"/>
  <c r="H25" i="88"/>
  <c r="H29" i="88"/>
  <c r="H33" i="88"/>
  <c r="H37" i="88"/>
  <c r="H41" i="88"/>
  <c r="H45" i="88"/>
  <c r="H58" i="88"/>
  <c r="B58" i="88"/>
  <c r="G57" i="88"/>
  <c r="G60" i="88"/>
  <c r="I62" i="88"/>
  <c r="H64" i="88"/>
  <c r="H66" i="88"/>
  <c r="H67" i="88"/>
  <c r="E10" i="88"/>
  <c r="H47" i="88"/>
  <c r="H43" i="88"/>
  <c r="H39" i="88"/>
  <c r="H35" i="88"/>
  <c r="H31" i="88"/>
  <c r="H27" i="88"/>
  <c r="H23" i="88"/>
  <c r="H19" i="88"/>
  <c r="R20" i="88"/>
  <c r="H20" i="88"/>
  <c r="H22" i="88"/>
  <c r="R24" i="88"/>
  <c r="H24" i="88"/>
  <c r="H26" i="88"/>
  <c r="R28" i="88"/>
  <c r="H28" i="88"/>
  <c r="H30" i="88"/>
  <c r="R32" i="88"/>
  <c r="H32" i="88"/>
  <c r="H34" i="88"/>
  <c r="R36" i="88"/>
  <c r="H36" i="88"/>
  <c r="H38" i="88"/>
  <c r="R40" i="88"/>
  <c r="H40" i="88"/>
  <c r="H42" i="88"/>
  <c r="R44" i="88"/>
  <c r="H44" i="88"/>
  <c r="H46" i="88"/>
  <c r="F54" i="88"/>
  <c r="F55" i="88"/>
  <c r="L55" i="88" s="1"/>
  <c r="G56" i="88"/>
  <c r="I58" i="88"/>
  <c r="H60" i="88"/>
  <c r="I61" i="88"/>
  <c r="I64" i="88"/>
  <c r="B67" i="88"/>
  <c r="E102" i="88"/>
  <c r="C102" i="88"/>
  <c r="J100" i="88"/>
  <c r="K74" i="88"/>
  <c r="K73" i="88"/>
  <c r="K70" i="88"/>
  <c r="C99" i="88"/>
  <c r="I97" i="88"/>
  <c r="E97" i="88"/>
  <c r="H97" i="88"/>
  <c r="F17" i="88"/>
  <c r="D50" i="88"/>
  <c r="H54" i="88"/>
  <c r="H55" i="88"/>
  <c r="I66" i="88"/>
  <c r="H74" i="88"/>
  <c r="G97" i="88"/>
  <c r="C100" i="88"/>
  <c r="C104" i="88"/>
  <c r="C105" i="88"/>
  <c r="H103" i="88"/>
  <c r="G103" i="88"/>
  <c r="D96" i="88"/>
  <c r="E16" i="88"/>
  <c r="R17" i="88"/>
  <c r="E50" i="88"/>
  <c r="I53" i="88"/>
  <c r="I65" i="88"/>
  <c r="J96" i="88"/>
  <c r="J97" i="88"/>
  <c r="E103" i="88"/>
  <c r="N55" i="87"/>
  <c r="I57" i="87"/>
  <c r="F56" i="87"/>
  <c r="F57" i="87"/>
  <c r="F58" i="87"/>
  <c r="F59" i="87"/>
  <c r="F60" i="87"/>
  <c r="F61" i="87"/>
  <c r="F62" i="87"/>
  <c r="F63" i="87"/>
  <c r="F64" i="87"/>
  <c r="F65" i="87"/>
  <c r="F66" i="87"/>
  <c r="F67" i="87"/>
  <c r="J97" i="87"/>
  <c r="L54" i="87"/>
  <c r="H26" i="87"/>
  <c r="H30" i="87"/>
  <c r="H34" i="87"/>
  <c r="N61" i="87" s="1"/>
  <c r="H38" i="87"/>
  <c r="M63" i="87" s="1"/>
  <c r="H41" i="87"/>
  <c r="N53" i="87"/>
  <c r="H131" i="87"/>
  <c r="F130" i="87"/>
  <c r="J105" i="87"/>
  <c r="G102" i="87"/>
  <c r="D99" i="87"/>
  <c r="D103" i="87" s="1"/>
  <c r="G131" i="87"/>
  <c r="I130" i="87"/>
  <c r="E130" i="87"/>
  <c r="J102" i="87"/>
  <c r="F102" i="87"/>
  <c r="D100" i="87"/>
  <c r="G105" i="87" s="1"/>
  <c r="F131" i="87"/>
  <c r="H130" i="87"/>
  <c r="D126" i="87"/>
  <c r="D125" i="87"/>
  <c r="I102" i="87"/>
  <c r="E102" i="87"/>
  <c r="C97" i="87"/>
  <c r="C96" i="87"/>
  <c r="G53" i="87"/>
  <c r="E9" i="87"/>
  <c r="H21" i="87"/>
  <c r="R22" i="87"/>
  <c r="H25" i="87"/>
  <c r="H29" i="87"/>
  <c r="H33" i="87"/>
  <c r="H37" i="87"/>
  <c r="H43" i="87"/>
  <c r="H45" i="87"/>
  <c r="H47" i="87"/>
  <c r="E52" i="87"/>
  <c r="F53" i="87"/>
  <c r="G54" i="87"/>
  <c r="J54" i="87" s="1"/>
  <c r="G55" i="87"/>
  <c r="G56" i="87"/>
  <c r="J56" i="87" s="1"/>
  <c r="G57" i="87"/>
  <c r="J57" i="87" s="1"/>
  <c r="G58" i="87"/>
  <c r="J58" i="87" s="1"/>
  <c r="G59" i="87"/>
  <c r="G60" i="87"/>
  <c r="G61" i="87"/>
  <c r="G62" i="87"/>
  <c r="G63" i="87"/>
  <c r="G64" i="87"/>
  <c r="G65" i="87"/>
  <c r="J65" i="87" s="1"/>
  <c r="G66" i="87"/>
  <c r="J66" i="87" s="1"/>
  <c r="G67" i="87"/>
  <c r="H102" i="87"/>
  <c r="J104" i="87"/>
  <c r="E131" i="87"/>
  <c r="H103" i="87"/>
  <c r="G103" i="87"/>
  <c r="D96" i="87"/>
  <c r="F103" i="87"/>
  <c r="R44" i="87"/>
  <c r="H44" i="87"/>
  <c r="I56" i="87"/>
  <c r="I103" i="87"/>
  <c r="F55" i="87"/>
  <c r="C102" i="87"/>
  <c r="J100" i="87"/>
  <c r="K74" i="87"/>
  <c r="K73" i="87"/>
  <c r="C99" i="87"/>
  <c r="E50" i="87"/>
  <c r="C105" i="87"/>
  <c r="C104" i="87"/>
  <c r="C100" i="87"/>
  <c r="H74" i="87"/>
  <c r="H73" i="87"/>
  <c r="H70" i="87"/>
  <c r="D50" i="87"/>
  <c r="I97" i="87"/>
  <c r="E97" i="87"/>
  <c r="H97" i="87"/>
  <c r="G97" i="87"/>
  <c r="F17" i="87"/>
  <c r="E48" i="87" s="1"/>
  <c r="H40" i="87"/>
  <c r="R43" i="87"/>
  <c r="I54" i="87"/>
  <c r="I55" i="87"/>
  <c r="H56" i="87"/>
  <c r="H57" i="87"/>
  <c r="I58" i="87"/>
  <c r="I59" i="87"/>
  <c r="I60" i="87"/>
  <c r="I61" i="87"/>
  <c r="I62" i="87"/>
  <c r="I63" i="87"/>
  <c r="I64" i="87"/>
  <c r="I65" i="87"/>
  <c r="I66" i="87"/>
  <c r="I67" i="87"/>
  <c r="K70" i="87"/>
  <c r="J96" i="87"/>
  <c r="C101" i="87"/>
  <c r="E103" i="87"/>
  <c r="I131" i="87"/>
  <c r="H54" i="87"/>
  <c r="H55" i="87"/>
  <c r="H58" i="87"/>
  <c r="H59" i="87"/>
  <c r="H60" i="87"/>
  <c r="H61" i="87"/>
  <c r="H62" i="87"/>
  <c r="H63" i="87"/>
  <c r="H64" i="87"/>
  <c r="H65" i="87"/>
  <c r="H66" i="87"/>
  <c r="H67" i="87"/>
  <c r="I53" i="87"/>
  <c r="M53" i="86"/>
  <c r="N53" i="86"/>
  <c r="M62" i="86"/>
  <c r="N60" i="86"/>
  <c r="N66" i="86"/>
  <c r="C102" i="86"/>
  <c r="J100" i="86"/>
  <c r="K74" i="86"/>
  <c r="K73" i="86"/>
  <c r="K70" i="86"/>
  <c r="C99" i="86"/>
  <c r="C105" i="86"/>
  <c r="C104" i="86"/>
  <c r="C100" i="86"/>
  <c r="H74" i="86"/>
  <c r="H73" i="86"/>
  <c r="H70" i="86"/>
  <c r="I97" i="86"/>
  <c r="E97" i="86"/>
  <c r="H97" i="86"/>
  <c r="G97" i="86"/>
  <c r="F17" i="86"/>
  <c r="G53" i="86"/>
  <c r="I56" i="86"/>
  <c r="H58" i="86"/>
  <c r="I61" i="86"/>
  <c r="H62" i="86"/>
  <c r="H64" i="86"/>
  <c r="G66" i="86"/>
  <c r="F97" i="86"/>
  <c r="H103" i="86"/>
  <c r="G103" i="86"/>
  <c r="D96" i="86"/>
  <c r="F103" i="86"/>
  <c r="E16" i="86"/>
  <c r="H27" i="86"/>
  <c r="H31" i="86"/>
  <c r="H39" i="86"/>
  <c r="H43" i="86"/>
  <c r="M66" i="86" s="1"/>
  <c r="I60" i="86"/>
  <c r="G63" i="86"/>
  <c r="H65" i="86"/>
  <c r="G67" i="86"/>
  <c r="F16" i="86"/>
  <c r="R19" i="86"/>
  <c r="R35" i="86"/>
  <c r="G58" i="86"/>
  <c r="I59" i="86"/>
  <c r="I65" i="86"/>
  <c r="J99" i="86"/>
  <c r="H102" i="86"/>
  <c r="J104" i="86"/>
  <c r="D50" i="86"/>
  <c r="H54" i="86"/>
  <c r="H55" i="86"/>
  <c r="I57" i="86"/>
  <c r="G60" i="86"/>
  <c r="I63" i="86"/>
  <c r="I67" i="86"/>
  <c r="R17" i="86"/>
  <c r="H23" i="86"/>
  <c r="H47" i="86"/>
  <c r="E50" i="86"/>
  <c r="I53" i="86"/>
  <c r="I54" i="86"/>
  <c r="I55" i="86"/>
  <c r="H57" i="86"/>
  <c r="G59" i="86"/>
  <c r="H61" i="86"/>
  <c r="I64" i="86"/>
  <c r="J97" i="86"/>
  <c r="G130" i="86"/>
  <c r="H22" i="86"/>
  <c r="H26" i="86"/>
  <c r="H30" i="86"/>
  <c r="H34" i="86"/>
  <c r="M61" i="86" s="1"/>
  <c r="H38" i="86"/>
  <c r="H42" i="86"/>
  <c r="H46" i="86"/>
  <c r="D52" i="86"/>
  <c r="F54" i="86"/>
  <c r="F55" i="86"/>
  <c r="H60" i="86"/>
  <c r="G62" i="86"/>
  <c r="G64" i="86"/>
  <c r="H66" i="86"/>
  <c r="H131" i="86"/>
  <c r="F130" i="86"/>
  <c r="J105" i="86"/>
  <c r="G102" i="86"/>
  <c r="D99" i="86"/>
  <c r="D103" i="86" s="1"/>
  <c r="F67" i="86"/>
  <c r="F66" i="86"/>
  <c r="F65" i="86"/>
  <c r="L65" i="86" s="1"/>
  <c r="F64" i="86"/>
  <c r="F63" i="86"/>
  <c r="F62" i="86"/>
  <c r="F61" i="86"/>
  <c r="F60" i="86"/>
  <c r="F59" i="86"/>
  <c r="F58" i="86"/>
  <c r="F57" i="86"/>
  <c r="F56" i="86"/>
  <c r="G131" i="86"/>
  <c r="I130" i="86"/>
  <c r="E130" i="86"/>
  <c r="J102" i="86"/>
  <c r="F102" i="86"/>
  <c r="D100" i="86"/>
  <c r="F105" i="86" s="1"/>
  <c r="F131" i="86"/>
  <c r="H130" i="86"/>
  <c r="D126" i="86"/>
  <c r="D125" i="86"/>
  <c r="I102" i="86"/>
  <c r="E102" i="86"/>
  <c r="C97" i="86"/>
  <c r="C96" i="86"/>
  <c r="E9" i="86"/>
  <c r="E17" i="86"/>
  <c r="E52" i="86"/>
  <c r="F53" i="86"/>
  <c r="G54" i="86"/>
  <c r="G55" i="86"/>
  <c r="B56" i="86"/>
  <c r="G57" i="86"/>
  <c r="H59" i="86"/>
  <c r="G61" i="86"/>
  <c r="H63" i="86"/>
  <c r="G65" i="86"/>
  <c r="I66" i="86"/>
  <c r="H67" i="86"/>
  <c r="J96" i="86"/>
  <c r="C101" i="86"/>
  <c r="E103" i="86"/>
  <c r="I131" i="86"/>
  <c r="H22" i="85"/>
  <c r="H24" i="85"/>
  <c r="H28" i="85"/>
  <c r="H32" i="85"/>
  <c r="H36" i="85"/>
  <c r="H40" i="85"/>
  <c r="H44" i="85"/>
  <c r="H61" i="85"/>
  <c r="B61" i="85"/>
  <c r="R21" i="85"/>
  <c r="H21" i="85"/>
  <c r="R25" i="85"/>
  <c r="H25" i="85"/>
  <c r="H27" i="85"/>
  <c r="H31" i="85"/>
  <c r="H35" i="85"/>
  <c r="H39" i="85"/>
  <c r="R45" i="85"/>
  <c r="H45" i="85"/>
  <c r="H57" i="85"/>
  <c r="B57" i="85"/>
  <c r="G63" i="85"/>
  <c r="D100" i="85"/>
  <c r="H105" i="85" s="1"/>
  <c r="H20" i="85"/>
  <c r="H26" i="85"/>
  <c r="H30" i="85"/>
  <c r="H34" i="85"/>
  <c r="H38" i="85"/>
  <c r="H42" i="85"/>
  <c r="H46" i="85"/>
  <c r="I97" i="85"/>
  <c r="E97" i="85"/>
  <c r="H97" i="85"/>
  <c r="G97" i="85"/>
  <c r="H103" i="85"/>
  <c r="F103" i="85"/>
  <c r="E130" i="85"/>
  <c r="E103" i="85"/>
  <c r="D96" i="85"/>
  <c r="E131" i="85"/>
  <c r="H19" i="85"/>
  <c r="H23" i="85"/>
  <c r="R29" i="85"/>
  <c r="H29" i="85"/>
  <c r="R33" i="85"/>
  <c r="H33" i="85"/>
  <c r="R37" i="85"/>
  <c r="H37" i="85"/>
  <c r="R41" i="85"/>
  <c r="H41" i="85"/>
  <c r="H43" i="85"/>
  <c r="H47" i="85"/>
  <c r="I58" i="85"/>
  <c r="G60" i="85"/>
  <c r="I65" i="85"/>
  <c r="H67" i="85"/>
  <c r="F54" i="85"/>
  <c r="F55" i="85"/>
  <c r="G56" i="85"/>
  <c r="G59" i="85"/>
  <c r="I61" i="85"/>
  <c r="H63" i="85"/>
  <c r="I64" i="85"/>
  <c r="H66" i="85"/>
  <c r="I67" i="85"/>
  <c r="I130" i="85"/>
  <c r="I53" i="85"/>
  <c r="I54" i="85"/>
  <c r="I55" i="85"/>
  <c r="I57" i="85"/>
  <c r="H59" i="85"/>
  <c r="I60" i="85"/>
  <c r="I63" i="85"/>
  <c r="H65" i="85"/>
  <c r="B65" i="85"/>
  <c r="B66" i="85"/>
  <c r="H131" i="85"/>
  <c r="F130" i="85"/>
  <c r="J105" i="85"/>
  <c r="G102" i="85"/>
  <c r="D99" i="85"/>
  <c r="D103" i="85" s="1"/>
  <c r="F67" i="85"/>
  <c r="F66" i="85"/>
  <c r="F65" i="85"/>
  <c r="L65" i="85" s="1"/>
  <c r="F64" i="85"/>
  <c r="F63" i="85"/>
  <c r="L63" i="85" s="1"/>
  <c r="F62" i="85"/>
  <c r="F61" i="85"/>
  <c r="L61" i="85" s="1"/>
  <c r="F60" i="85"/>
  <c r="L60" i="85" s="1"/>
  <c r="F59" i="85"/>
  <c r="F58" i="85"/>
  <c r="F57" i="85"/>
  <c r="L57" i="85" s="1"/>
  <c r="F56" i="85"/>
  <c r="L56" i="85" s="1"/>
  <c r="G131" i="85"/>
  <c r="E9" i="85"/>
  <c r="E17" i="85"/>
  <c r="E52" i="85"/>
  <c r="F53" i="85"/>
  <c r="G54" i="85"/>
  <c r="G55" i="85"/>
  <c r="H56" i="85"/>
  <c r="G57" i="85"/>
  <c r="H60" i="85"/>
  <c r="G61" i="85"/>
  <c r="H64" i="85"/>
  <c r="G65" i="85"/>
  <c r="J96" i="85"/>
  <c r="C99" i="85"/>
  <c r="C101" i="85"/>
  <c r="F102" i="85"/>
  <c r="C104" i="85"/>
  <c r="G130" i="85"/>
  <c r="F131" i="85"/>
  <c r="C102" i="85"/>
  <c r="J100" i="85"/>
  <c r="K74" i="85"/>
  <c r="K73" i="85"/>
  <c r="K70" i="85"/>
  <c r="F17" i="85"/>
  <c r="D50" i="85"/>
  <c r="G53" i="85"/>
  <c r="G58" i="85"/>
  <c r="J58" i="85" s="1"/>
  <c r="G62" i="85"/>
  <c r="G66" i="85"/>
  <c r="H70" i="85"/>
  <c r="C97" i="85"/>
  <c r="J99" i="85"/>
  <c r="H102" i="85"/>
  <c r="J104" i="85"/>
  <c r="D125" i="85"/>
  <c r="D126" i="85"/>
  <c r="H130" i="85"/>
  <c r="I131" i="85"/>
  <c r="F17" i="84"/>
  <c r="G53" i="84"/>
  <c r="H55" i="84"/>
  <c r="G60" i="84"/>
  <c r="H61" i="84"/>
  <c r="I66" i="84"/>
  <c r="H103" i="84"/>
  <c r="G103" i="84"/>
  <c r="D96" i="84"/>
  <c r="F103" i="84"/>
  <c r="E11" i="84"/>
  <c r="E16" i="84"/>
  <c r="R17" i="84"/>
  <c r="H19" i="84"/>
  <c r="M54" i="84" s="1"/>
  <c r="H23" i="84"/>
  <c r="M56" i="84" s="1"/>
  <c r="H27" i="84"/>
  <c r="H31" i="84"/>
  <c r="H35" i="84"/>
  <c r="H39" i="84"/>
  <c r="H43" i="84"/>
  <c r="H47" i="84"/>
  <c r="E50" i="84"/>
  <c r="I53" i="84"/>
  <c r="I54" i="84"/>
  <c r="I55" i="84"/>
  <c r="H58" i="84"/>
  <c r="G59" i="84"/>
  <c r="H60" i="84"/>
  <c r="I61" i="84"/>
  <c r="G63" i="84"/>
  <c r="H64" i="84"/>
  <c r="I65" i="84"/>
  <c r="G67" i="84"/>
  <c r="G130" i="84"/>
  <c r="C102" i="84"/>
  <c r="J100" i="84"/>
  <c r="K74" i="84"/>
  <c r="K73" i="84"/>
  <c r="K70" i="84"/>
  <c r="C99" i="84"/>
  <c r="C105" i="84"/>
  <c r="C104" i="84"/>
  <c r="C100" i="84"/>
  <c r="H74" i="84"/>
  <c r="H73" i="84"/>
  <c r="H70" i="84"/>
  <c r="D50" i="84"/>
  <c r="H54" i="84"/>
  <c r="I56" i="84"/>
  <c r="H57" i="84"/>
  <c r="G58" i="84"/>
  <c r="I62" i="84"/>
  <c r="G64" i="84"/>
  <c r="H65" i="84"/>
  <c r="E10" i="84"/>
  <c r="F16" i="84"/>
  <c r="D52" i="84"/>
  <c r="F54" i="84"/>
  <c r="F55" i="84"/>
  <c r="G56" i="84"/>
  <c r="B59" i="84"/>
  <c r="I60" i="84"/>
  <c r="G62" i="84"/>
  <c r="B63" i="84"/>
  <c r="I64" i="84"/>
  <c r="G66" i="84"/>
  <c r="J99" i="84"/>
  <c r="H102" i="84"/>
  <c r="J104" i="84"/>
  <c r="I97" i="84"/>
  <c r="E97" i="84"/>
  <c r="H97" i="84"/>
  <c r="G97" i="84"/>
  <c r="H131" i="84"/>
  <c r="F130" i="84"/>
  <c r="J105" i="84"/>
  <c r="G102" i="84"/>
  <c r="D99" i="84"/>
  <c r="D103" i="84" s="1"/>
  <c r="F67" i="84"/>
  <c r="F66" i="84"/>
  <c r="L66" i="84" s="1"/>
  <c r="F65" i="84"/>
  <c r="F64" i="84"/>
  <c r="F63" i="84"/>
  <c r="F62" i="84"/>
  <c r="L62" i="84" s="1"/>
  <c r="F61" i="84"/>
  <c r="F60" i="84"/>
  <c r="F59" i="84"/>
  <c r="L59" i="84" s="1"/>
  <c r="F58" i="84"/>
  <c r="L58" i="84" s="1"/>
  <c r="F57" i="84"/>
  <c r="L57" i="84" s="1"/>
  <c r="F56" i="84"/>
  <c r="L56" i="84" s="1"/>
  <c r="G131" i="84"/>
  <c r="I130" i="84"/>
  <c r="E130" i="84"/>
  <c r="J102" i="84"/>
  <c r="F102" i="84"/>
  <c r="D100" i="84"/>
  <c r="H105" i="84" s="1"/>
  <c r="F131" i="84"/>
  <c r="H130" i="84"/>
  <c r="D126" i="84"/>
  <c r="D125" i="84"/>
  <c r="I102" i="84"/>
  <c r="E102" i="84"/>
  <c r="C97" i="84"/>
  <c r="C96" i="84"/>
  <c r="E9" i="84"/>
  <c r="E17" i="84"/>
  <c r="N56" i="84"/>
  <c r="N58" i="84"/>
  <c r="N60" i="84"/>
  <c r="M60" i="84"/>
  <c r="N62" i="84"/>
  <c r="M66" i="84"/>
  <c r="E52" i="84"/>
  <c r="F53" i="84"/>
  <c r="G54" i="84"/>
  <c r="G55" i="84"/>
  <c r="B56" i="84"/>
  <c r="G57" i="84"/>
  <c r="I59" i="84"/>
  <c r="G61" i="84"/>
  <c r="B62" i="84"/>
  <c r="H62" i="84"/>
  <c r="I63" i="84"/>
  <c r="G65" i="84"/>
  <c r="J65" i="84" s="1"/>
  <c r="B66" i="84"/>
  <c r="H66" i="84"/>
  <c r="I67" i="84"/>
  <c r="H67" i="84"/>
  <c r="J96" i="84"/>
  <c r="C101" i="84"/>
  <c r="E103" i="84"/>
  <c r="I131" i="84"/>
  <c r="C11" i="83"/>
  <c r="E17" i="83"/>
  <c r="R19" i="83"/>
  <c r="H19" i="83"/>
  <c r="R23" i="83"/>
  <c r="H23" i="83"/>
  <c r="R27" i="83"/>
  <c r="H27" i="83"/>
  <c r="R31" i="83"/>
  <c r="H31" i="83"/>
  <c r="R35" i="83"/>
  <c r="H35" i="83"/>
  <c r="R39" i="83"/>
  <c r="H39" i="83"/>
  <c r="R43" i="83"/>
  <c r="H43" i="83"/>
  <c r="M66" i="83" s="1"/>
  <c r="R47" i="83"/>
  <c r="H47" i="83"/>
  <c r="I58" i="83"/>
  <c r="E9" i="83"/>
  <c r="I97" i="83"/>
  <c r="E97" i="83"/>
  <c r="H97" i="83"/>
  <c r="G97" i="83"/>
  <c r="F97" i="83"/>
  <c r="F17" i="83"/>
  <c r="G53" i="83"/>
  <c r="I61" i="83"/>
  <c r="C102" i="83"/>
  <c r="J100" i="83"/>
  <c r="K74" i="83"/>
  <c r="K73" i="83"/>
  <c r="K70" i="83"/>
  <c r="C99" i="83"/>
  <c r="C105" i="83"/>
  <c r="C104" i="83"/>
  <c r="C100" i="83"/>
  <c r="H74" i="83"/>
  <c r="H73" i="83"/>
  <c r="H70" i="83"/>
  <c r="J96" i="83"/>
  <c r="E52" i="83"/>
  <c r="J99" i="83"/>
  <c r="D52" i="83"/>
  <c r="F16" i="83"/>
  <c r="E16" i="83"/>
  <c r="J97" i="83"/>
  <c r="E50" i="83"/>
  <c r="R17" i="83"/>
  <c r="B54" i="83"/>
  <c r="I54" i="83"/>
  <c r="B55" i="83"/>
  <c r="I55" i="83"/>
  <c r="H56" i="83"/>
  <c r="B56" i="83"/>
  <c r="H131" i="83"/>
  <c r="F130" i="83"/>
  <c r="J105" i="83"/>
  <c r="G102" i="83"/>
  <c r="D99" i="83"/>
  <c r="D103" i="83" s="1"/>
  <c r="F67" i="83"/>
  <c r="F66" i="83"/>
  <c r="L66" i="83" s="1"/>
  <c r="F65" i="83"/>
  <c r="L65" i="83" s="1"/>
  <c r="F64" i="83"/>
  <c r="F63" i="83"/>
  <c r="F62" i="83"/>
  <c r="F61" i="83"/>
  <c r="L61" i="83" s="1"/>
  <c r="F60" i="83"/>
  <c r="L60" i="83" s="1"/>
  <c r="F59" i="83"/>
  <c r="L59" i="83" s="1"/>
  <c r="F58" i="83"/>
  <c r="L58" i="83" s="1"/>
  <c r="F57" i="83"/>
  <c r="L57" i="83" s="1"/>
  <c r="F56" i="83"/>
  <c r="L56" i="83" s="1"/>
  <c r="G131" i="83"/>
  <c r="I130" i="83"/>
  <c r="E130" i="83"/>
  <c r="J102" i="83"/>
  <c r="F102" i="83"/>
  <c r="D100" i="83"/>
  <c r="F105" i="83" s="1"/>
  <c r="F131" i="83"/>
  <c r="H130" i="83"/>
  <c r="D126" i="83"/>
  <c r="D125" i="83"/>
  <c r="I102" i="83"/>
  <c r="E102" i="83"/>
  <c r="C97" i="83"/>
  <c r="C96" i="83"/>
  <c r="I131" i="83"/>
  <c r="C101" i="83"/>
  <c r="G65" i="83"/>
  <c r="G61" i="83"/>
  <c r="G57" i="83"/>
  <c r="G55" i="83"/>
  <c r="G54" i="83"/>
  <c r="F53" i="83"/>
  <c r="E131" i="83"/>
  <c r="J104" i="83"/>
  <c r="H102" i="83"/>
  <c r="G64" i="83"/>
  <c r="G60" i="83"/>
  <c r="G56" i="83"/>
  <c r="F55" i="83"/>
  <c r="L55" i="83" s="1"/>
  <c r="F54" i="83"/>
  <c r="L54" i="83" s="1"/>
  <c r="E10" i="83"/>
  <c r="H58" i="83"/>
  <c r="G62" i="83"/>
  <c r="G130" i="83"/>
  <c r="G67" i="83"/>
  <c r="G63" i="83"/>
  <c r="G59" i="83"/>
  <c r="E11" i="83"/>
  <c r="G66" i="83"/>
  <c r="H61" i="83"/>
  <c r="H20" i="83"/>
  <c r="M54" i="83" s="1"/>
  <c r="H24" i="83"/>
  <c r="N56" i="83" s="1"/>
  <c r="H28" i="83"/>
  <c r="M58" i="83" s="1"/>
  <c r="H32" i="83"/>
  <c r="N60" i="83" s="1"/>
  <c r="H36" i="83"/>
  <c r="H40" i="83"/>
  <c r="N64" i="83" s="1"/>
  <c r="G58" i="83"/>
  <c r="H60" i="83"/>
  <c r="I64" i="83"/>
  <c r="I65" i="83"/>
  <c r="I60" i="83"/>
  <c r="H103" i="83"/>
  <c r="G103" i="83"/>
  <c r="D96" i="83"/>
  <c r="F103" i="83"/>
  <c r="I53" i="83"/>
  <c r="B59" i="83"/>
  <c r="H59" i="83"/>
  <c r="I62" i="83"/>
  <c r="H62" i="83"/>
  <c r="I66" i="83"/>
  <c r="B60" i="83"/>
  <c r="I63" i="83"/>
  <c r="I67" i="83"/>
  <c r="E103" i="83"/>
  <c r="H63" i="83"/>
  <c r="H64" i="83"/>
  <c r="H65" i="83"/>
  <c r="H66" i="83"/>
  <c r="H67" i="83"/>
  <c r="I103" i="47"/>
  <c r="F103" i="47"/>
  <c r="J63" i="83" l="1"/>
  <c r="J61" i="91"/>
  <c r="L64" i="85"/>
  <c r="N62" i="91"/>
  <c r="M54" i="91"/>
  <c r="M56" i="90"/>
  <c r="N66" i="90"/>
  <c r="N65" i="89"/>
  <c r="M58" i="89"/>
  <c r="N64" i="89"/>
  <c r="J65" i="88"/>
  <c r="N59" i="87"/>
  <c r="N61" i="86"/>
  <c r="N54" i="86"/>
  <c r="N56" i="86"/>
  <c r="J56" i="88"/>
  <c r="J63" i="87"/>
  <c r="J62" i="87"/>
  <c r="L62" i="86"/>
  <c r="J60" i="87"/>
  <c r="J67" i="87"/>
  <c r="L63" i="90"/>
  <c r="L55" i="86"/>
  <c r="L58" i="88"/>
  <c r="J57" i="83"/>
  <c r="L67" i="90"/>
  <c r="J65" i="83"/>
  <c r="L60" i="88"/>
  <c r="L62" i="89"/>
  <c r="L54" i="86"/>
  <c r="L66" i="90"/>
  <c r="L62" i="85"/>
  <c r="L62" i="90"/>
  <c r="L60" i="90"/>
  <c r="L54" i="90"/>
  <c r="J64" i="89"/>
  <c r="N59" i="89"/>
  <c r="M66" i="89"/>
  <c r="M62" i="89"/>
  <c r="M63" i="89"/>
  <c r="L54" i="88"/>
  <c r="J62" i="88"/>
  <c r="L57" i="88"/>
  <c r="M61" i="87"/>
  <c r="L55" i="87"/>
  <c r="M57" i="87"/>
  <c r="L63" i="87"/>
  <c r="M56" i="86"/>
  <c r="M54" i="86"/>
  <c r="L59" i="86"/>
  <c r="J54" i="85"/>
  <c r="J55" i="84"/>
  <c r="L60" i="84"/>
  <c r="M64" i="84"/>
  <c r="L64" i="84"/>
  <c r="L61" i="84"/>
  <c r="L65" i="84"/>
  <c r="M62" i="83"/>
  <c r="N58" i="83"/>
  <c r="D101" i="89"/>
  <c r="D101" i="88"/>
  <c r="L63" i="91"/>
  <c r="L67" i="91"/>
  <c r="J57" i="91"/>
  <c r="J55" i="91"/>
  <c r="N54" i="91"/>
  <c r="J65" i="91"/>
  <c r="J58" i="91"/>
  <c r="G105" i="91"/>
  <c r="D101" i="91"/>
  <c r="J67" i="90"/>
  <c r="M66" i="90"/>
  <c r="J54" i="90"/>
  <c r="L57" i="90"/>
  <c r="M53" i="90"/>
  <c r="J70" i="90"/>
  <c r="J73" i="90" s="1"/>
  <c r="J59" i="90"/>
  <c r="L64" i="90"/>
  <c r="L65" i="90"/>
  <c r="J65" i="90"/>
  <c r="J56" i="90"/>
  <c r="J62" i="90"/>
  <c r="N61" i="89"/>
  <c r="J65" i="89"/>
  <c r="E48" i="89"/>
  <c r="E105" i="89"/>
  <c r="J59" i="89"/>
  <c r="G105" i="89"/>
  <c r="J61" i="89"/>
  <c r="J62" i="89"/>
  <c r="J54" i="89"/>
  <c r="J63" i="89"/>
  <c r="H105" i="89"/>
  <c r="F105" i="89"/>
  <c r="J60" i="88"/>
  <c r="J70" i="88"/>
  <c r="J73" i="88" s="1"/>
  <c r="J63" i="88"/>
  <c r="J64" i="88"/>
  <c r="J67" i="88"/>
  <c r="F105" i="88"/>
  <c r="G105" i="88"/>
  <c r="L65" i="87"/>
  <c r="L64" i="87"/>
  <c r="L59" i="87"/>
  <c r="L61" i="87"/>
  <c r="J59" i="87"/>
  <c r="E105" i="87"/>
  <c r="D101" i="87"/>
  <c r="L56" i="86"/>
  <c r="L60" i="86"/>
  <c r="L61" i="86"/>
  <c r="L58" i="86"/>
  <c r="L63" i="86"/>
  <c r="L67" i="86"/>
  <c r="J60" i="86"/>
  <c r="J66" i="86"/>
  <c r="J54" i="86"/>
  <c r="J61" i="86"/>
  <c r="E78" i="86"/>
  <c r="D113" i="86" s="1"/>
  <c r="J56" i="86"/>
  <c r="J65" i="86"/>
  <c r="J57" i="86"/>
  <c r="J58" i="86"/>
  <c r="D101" i="86"/>
  <c r="L58" i="85"/>
  <c r="G105" i="85"/>
  <c r="L59" i="85"/>
  <c r="L54" i="85"/>
  <c r="L66" i="85"/>
  <c r="E48" i="85"/>
  <c r="J66" i="85"/>
  <c r="E71" i="85"/>
  <c r="J63" i="85"/>
  <c r="J62" i="85"/>
  <c r="J61" i="85"/>
  <c r="J55" i="85"/>
  <c r="J59" i="85"/>
  <c r="D101" i="85"/>
  <c r="F105" i="85"/>
  <c r="J61" i="84"/>
  <c r="J57" i="84"/>
  <c r="F105" i="84"/>
  <c r="L67" i="84"/>
  <c r="L54" i="84"/>
  <c r="G105" i="84"/>
  <c r="D101" i="84"/>
  <c r="J61" i="83"/>
  <c r="M56" i="83"/>
  <c r="M60" i="83"/>
  <c r="J67" i="83"/>
  <c r="J55" i="83"/>
  <c r="M64" i="83"/>
  <c r="J59" i="83"/>
  <c r="L62" i="83"/>
  <c r="J60" i="83"/>
  <c r="J64" i="83"/>
  <c r="E71" i="83"/>
  <c r="J56" i="83"/>
  <c r="E105" i="83"/>
  <c r="J73" i="91"/>
  <c r="D131" i="91"/>
  <c r="D130" i="91"/>
  <c r="L53" i="91"/>
  <c r="L64" i="91"/>
  <c r="J56" i="91"/>
  <c r="E70" i="91"/>
  <c r="J53" i="91"/>
  <c r="E78" i="91"/>
  <c r="N65" i="91"/>
  <c r="M65" i="91"/>
  <c r="N57" i="91"/>
  <c r="M57" i="91"/>
  <c r="E48" i="91"/>
  <c r="J60" i="91"/>
  <c r="I105" i="91"/>
  <c r="J62" i="91"/>
  <c r="L55" i="91"/>
  <c r="N63" i="91"/>
  <c r="M63" i="91"/>
  <c r="N55" i="91"/>
  <c r="M55" i="91"/>
  <c r="H105" i="91"/>
  <c r="N64" i="91"/>
  <c r="M64" i="91"/>
  <c r="L66" i="91"/>
  <c r="L54" i="91"/>
  <c r="J66" i="91"/>
  <c r="J59" i="91"/>
  <c r="N61" i="91"/>
  <c r="M61" i="91"/>
  <c r="N53" i="91"/>
  <c r="M53" i="91"/>
  <c r="F105" i="91"/>
  <c r="M62" i="91"/>
  <c r="J64" i="91"/>
  <c r="E71" i="91"/>
  <c r="J67" i="91"/>
  <c r="J63" i="91"/>
  <c r="N67" i="91"/>
  <c r="M67" i="91"/>
  <c r="N59" i="91"/>
  <c r="M59" i="91"/>
  <c r="I96" i="91"/>
  <c r="E96" i="91"/>
  <c r="H96" i="91"/>
  <c r="G96" i="91"/>
  <c r="F96" i="91"/>
  <c r="M66" i="91"/>
  <c r="M58" i="91"/>
  <c r="D131" i="90"/>
  <c r="D130" i="90"/>
  <c r="L53" i="90"/>
  <c r="D103" i="90"/>
  <c r="D101" i="90"/>
  <c r="J60" i="90"/>
  <c r="L55" i="90"/>
  <c r="H105" i="90"/>
  <c r="E78" i="90"/>
  <c r="G105" i="90"/>
  <c r="J66" i="90"/>
  <c r="N61" i="90"/>
  <c r="M61" i="90"/>
  <c r="I105" i="90"/>
  <c r="J63" i="90"/>
  <c r="J55" i="90"/>
  <c r="L61" i="90"/>
  <c r="J64" i="90"/>
  <c r="J57" i="90"/>
  <c r="N57" i="90"/>
  <c r="M57" i="90"/>
  <c r="F105" i="90"/>
  <c r="E71" i="90"/>
  <c r="N63" i="90"/>
  <c r="M63" i="90"/>
  <c r="E48" i="90"/>
  <c r="N67" i="90"/>
  <c r="M67" i="90"/>
  <c r="N59" i="90"/>
  <c r="M59" i="90"/>
  <c r="L58" i="90"/>
  <c r="J58" i="90"/>
  <c r="E70" i="90"/>
  <c r="J53" i="90"/>
  <c r="I96" i="90"/>
  <c r="E96" i="90"/>
  <c r="H96" i="90"/>
  <c r="G96" i="90"/>
  <c r="F96" i="90"/>
  <c r="J61" i="90"/>
  <c r="N65" i="90"/>
  <c r="M65" i="90"/>
  <c r="L65" i="89"/>
  <c r="L61" i="89"/>
  <c r="L59" i="89"/>
  <c r="L57" i="89"/>
  <c r="L55" i="89"/>
  <c r="D131" i="89"/>
  <c r="D130" i="89"/>
  <c r="L53" i="89"/>
  <c r="J73" i="89"/>
  <c r="J57" i="89"/>
  <c r="J67" i="89"/>
  <c r="J60" i="89"/>
  <c r="L67" i="89"/>
  <c r="E78" i="89"/>
  <c r="I96" i="89"/>
  <c r="I104" i="89" s="1"/>
  <c r="I114" i="89" s="1"/>
  <c r="I127" i="89" s="1"/>
  <c r="E96" i="89"/>
  <c r="H96" i="89"/>
  <c r="G96" i="89"/>
  <c r="F96" i="89"/>
  <c r="E71" i="89"/>
  <c r="J58" i="89"/>
  <c r="E73" i="89"/>
  <c r="D109" i="89" s="1"/>
  <c r="D133" i="89" s="1"/>
  <c r="L63" i="89"/>
  <c r="L60" i="89"/>
  <c r="L58" i="89"/>
  <c r="L56" i="89"/>
  <c r="L54" i="89"/>
  <c r="J55" i="89"/>
  <c r="E70" i="89"/>
  <c r="J53" i="89"/>
  <c r="L64" i="89"/>
  <c r="J66" i="89"/>
  <c r="J56" i="89"/>
  <c r="M53" i="88"/>
  <c r="N53" i="88"/>
  <c r="M55" i="88"/>
  <c r="N55" i="88"/>
  <c r="N63" i="88"/>
  <c r="M63" i="88"/>
  <c r="N64" i="88"/>
  <c r="M64" i="88"/>
  <c r="N56" i="88"/>
  <c r="M56" i="88"/>
  <c r="D131" i="88"/>
  <c r="J66" i="88"/>
  <c r="E78" i="88"/>
  <c r="E48" i="88"/>
  <c r="E105" i="88"/>
  <c r="N57" i="88"/>
  <c r="M57" i="88"/>
  <c r="N65" i="88"/>
  <c r="M65" i="88"/>
  <c r="J57" i="88"/>
  <c r="N62" i="88"/>
  <c r="M62" i="88"/>
  <c r="M54" i="88"/>
  <c r="N54" i="88"/>
  <c r="J58" i="88"/>
  <c r="J61" i="88"/>
  <c r="J54" i="88"/>
  <c r="N61" i="88"/>
  <c r="M61" i="88"/>
  <c r="N66" i="88"/>
  <c r="M66" i="88"/>
  <c r="N58" i="88"/>
  <c r="M58" i="88"/>
  <c r="E70" i="88"/>
  <c r="J53" i="88"/>
  <c r="I96" i="88"/>
  <c r="E96" i="88"/>
  <c r="E104" i="88" s="1"/>
  <c r="E114" i="88" s="1"/>
  <c r="E127" i="88" s="1"/>
  <c r="H96" i="88"/>
  <c r="G96" i="88"/>
  <c r="F96" i="88"/>
  <c r="E71" i="88"/>
  <c r="I105" i="88"/>
  <c r="N59" i="88"/>
  <c r="M59" i="88"/>
  <c r="N67" i="88"/>
  <c r="M67" i="88"/>
  <c r="N60" i="88"/>
  <c r="M60" i="88"/>
  <c r="D130" i="88"/>
  <c r="J59" i="88"/>
  <c r="L65" i="88"/>
  <c r="J72" i="88" s="1"/>
  <c r="J74" i="88" s="1"/>
  <c r="D104" i="88" s="1"/>
  <c r="J55" i="88"/>
  <c r="H105" i="87"/>
  <c r="I105" i="87"/>
  <c r="J61" i="87"/>
  <c r="D131" i="87"/>
  <c r="D130" i="87"/>
  <c r="L53" i="87"/>
  <c r="M65" i="87"/>
  <c r="N65" i="87"/>
  <c r="M56" i="87"/>
  <c r="N56" i="87"/>
  <c r="L67" i="87"/>
  <c r="N63" i="87"/>
  <c r="L60" i="87"/>
  <c r="L57" i="87"/>
  <c r="N57" i="87"/>
  <c r="E78" i="87"/>
  <c r="E71" i="87"/>
  <c r="F105" i="87"/>
  <c r="J64" i="87"/>
  <c r="M62" i="87"/>
  <c r="N62" i="87"/>
  <c r="J53" i="87"/>
  <c r="E70" i="87"/>
  <c r="L66" i="87"/>
  <c r="L56" i="87"/>
  <c r="D102" i="87"/>
  <c r="M66" i="87"/>
  <c r="N66" i="87"/>
  <c r="M58" i="87"/>
  <c r="N58" i="87"/>
  <c r="M64" i="87"/>
  <c r="N64" i="87"/>
  <c r="M59" i="87"/>
  <c r="I96" i="87"/>
  <c r="E96" i="87"/>
  <c r="E104" i="87" s="1"/>
  <c r="E114" i="87" s="1"/>
  <c r="E127" i="87" s="1"/>
  <c r="H96" i="87"/>
  <c r="H104" i="87" s="1"/>
  <c r="H114" i="87" s="1"/>
  <c r="H127" i="87" s="1"/>
  <c r="G96" i="87"/>
  <c r="F96" i="87"/>
  <c r="J55" i="87"/>
  <c r="M67" i="87"/>
  <c r="N67" i="87"/>
  <c r="M60" i="87"/>
  <c r="N60" i="87"/>
  <c r="M54" i="87"/>
  <c r="N54" i="87"/>
  <c r="L62" i="87"/>
  <c r="L58" i="87"/>
  <c r="J59" i="86"/>
  <c r="J64" i="86"/>
  <c r="J63" i="86"/>
  <c r="N59" i="86"/>
  <c r="M59" i="86"/>
  <c r="M60" i="86"/>
  <c r="G105" i="86"/>
  <c r="D131" i="86"/>
  <c r="D130" i="86"/>
  <c r="L53" i="86"/>
  <c r="J72" i="86" s="1"/>
  <c r="J74" i="86" s="1"/>
  <c r="L57" i="86"/>
  <c r="N67" i="86"/>
  <c r="M67" i="86"/>
  <c r="N57" i="86"/>
  <c r="M57" i="86"/>
  <c r="E70" i="86"/>
  <c r="J53" i="86"/>
  <c r="H105" i="86"/>
  <c r="N63" i="86"/>
  <c r="M63" i="86"/>
  <c r="E105" i="86"/>
  <c r="M64" i="86"/>
  <c r="L64" i="86"/>
  <c r="I96" i="86"/>
  <c r="E96" i="86"/>
  <c r="H96" i="86"/>
  <c r="G96" i="86"/>
  <c r="F96" i="86"/>
  <c r="F104" i="86" s="1"/>
  <c r="F114" i="86" s="1"/>
  <c r="F127" i="86" s="1"/>
  <c r="I105" i="86"/>
  <c r="J55" i="86"/>
  <c r="L66" i="86"/>
  <c r="J62" i="86"/>
  <c r="N55" i="86"/>
  <c r="M55" i="86"/>
  <c r="E71" i="86"/>
  <c r="J67" i="86"/>
  <c r="N65" i="86"/>
  <c r="M65" i="86"/>
  <c r="E48" i="86"/>
  <c r="M58" i="86"/>
  <c r="N62" i="85"/>
  <c r="M62" i="85"/>
  <c r="N63" i="85"/>
  <c r="M63" i="85"/>
  <c r="N56" i="85"/>
  <c r="M56" i="85"/>
  <c r="J56" i="85"/>
  <c r="J60" i="85"/>
  <c r="N65" i="85"/>
  <c r="M65" i="85"/>
  <c r="I96" i="85"/>
  <c r="E96" i="85"/>
  <c r="F96" i="85"/>
  <c r="H96" i="85"/>
  <c r="G96" i="85"/>
  <c r="N61" i="85"/>
  <c r="M61" i="85"/>
  <c r="N67" i="85"/>
  <c r="M67" i="85"/>
  <c r="N58" i="85"/>
  <c r="M58" i="85"/>
  <c r="E70" i="85"/>
  <c r="J53" i="85"/>
  <c r="J65" i="85"/>
  <c r="J57" i="85"/>
  <c r="D131" i="85"/>
  <c r="L53" i="85"/>
  <c r="J72" i="85" s="1"/>
  <c r="J74" i="85" s="1"/>
  <c r="D130" i="85"/>
  <c r="L55" i="85"/>
  <c r="N64" i="85"/>
  <c r="M64" i="85"/>
  <c r="N60" i="85"/>
  <c r="M60" i="85"/>
  <c r="N55" i="85"/>
  <c r="M55" i="85"/>
  <c r="I105" i="85"/>
  <c r="E105" i="85"/>
  <c r="N66" i="85"/>
  <c r="M66" i="85"/>
  <c r="N59" i="85"/>
  <c r="M59" i="85"/>
  <c r="N54" i="85"/>
  <c r="M54" i="85"/>
  <c r="J64" i="85"/>
  <c r="L67" i="85"/>
  <c r="E78" i="85"/>
  <c r="N53" i="85"/>
  <c r="M53" i="85"/>
  <c r="J67" i="85"/>
  <c r="N57" i="85"/>
  <c r="M57" i="85"/>
  <c r="E70" i="84"/>
  <c r="J53" i="84"/>
  <c r="D131" i="84"/>
  <c r="D130" i="84"/>
  <c r="L53" i="84"/>
  <c r="J72" i="84" s="1"/>
  <c r="J74" i="84" s="1"/>
  <c r="L63" i="84"/>
  <c r="E105" i="84"/>
  <c r="J67" i="84"/>
  <c r="J63" i="84"/>
  <c r="J59" i="84"/>
  <c r="N67" i="84"/>
  <c r="M67" i="84"/>
  <c r="N59" i="84"/>
  <c r="M59" i="84"/>
  <c r="I96" i="84"/>
  <c r="E96" i="84"/>
  <c r="H96" i="84"/>
  <c r="G96" i="84"/>
  <c r="F96" i="84"/>
  <c r="J58" i="84"/>
  <c r="N61" i="84"/>
  <c r="M61" i="84"/>
  <c r="N53" i="84"/>
  <c r="M53" i="84"/>
  <c r="J66" i="84"/>
  <c r="J62" i="84"/>
  <c r="J56" i="84"/>
  <c r="J64" i="84"/>
  <c r="I105" i="84"/>
  <c r="E78" i="84"/>
  <c r="N65" i="84"/>
  <c r="M65" i="84"/>
  <c r="N57" i="84"/>
  <c r="M57" i="84"/>
  <c r="E48" i="84"/>
  <c r="J60" i="84"/>
  <c r="J54" i="84"/>
  <c r="M62" i="84"/>
  <c r="L55" i="84"/>
  <c r="E71" i="84"/>
  <c r="N63" i="84"/>
  <c r="M63" i="84"/>
  <c r="N55" i="84"/>
  <c r="M55" i="84"/>
  <c r="M58" i="84"/>
  <c r="I96" i="83"/>
  <c r="E96" i="83"/>
  <c r="H96" i="83"/>
  <c r="H104" i="83" s="1"/>
  <c r="H114" i="83" s="1"/>
  <c r="H127" i="83" s="1"/>
  <c r="G96" i="83"/>
  <c r="F96" i="83"/>
  <c r="F104" i="83" s="1"/>
  <c r="F114" i="83" s="1"/>
  <c r="F127" i="83" s="1"/>
  <c r="L63" i="83"/>
  <c r="L67" i="83"/>
  <c r="E48" i="83"/>
  <c r="I105" i="83"/>
  <c r="E70" i="83"/>
  <c r="J53" i="83"/>
  <c r="N62" i="83"/>
  <c r="N54" i="83"/>
  <c r="E78" i="83"/>
  <c r="J58" i="83"/>
  <c r="J62" i="83"/>
  <c r="D131" i="83"/>
  <c r="D130" i="83"/>
  <c r="L53" i="83"/>
  <c r="D101" i="83"/>
  <c r="L64" i="83"/>
  <c r="H105" i="83"/>
  <c r="N67" i="83"/>
  <c r="M67" i="83"/>
  <c r="N65" i="83"/>
  <c r="M65" i="83"/>
  <c r="N63" i="83"/>
  <c r="M63" i="83"/>
  <c r="N61" i="83"/>
  <c r="M61" i="83"/>
  <c r="N59" i="83"/>
  <c r="M59" i="83"/>
  <c r="N57" i="83"/>
  <c r="M57" i="83"/>
  <c r="N55" i="83"/>
  <c r="M55" i="83"/>
  <c r="N53" i="83"/>
  <c r="M53" i="83"/>
  <c r="J66" i="83"/>
  <c r="J54" i="83"/>
  <c r="G105" i="83"/>
  <c r="J71" i="83" l="1"/>
  <c r="J76" i="83" s="1"/>
  <c r="J72" i="83"/>
  <c r="J74" i="83" s="1"/>
  <c r="D104" i="83" s="1"/>
  <c r="J75" i="86"/>
  <c r="J75" i="85"/>
  <c r="J75" i="84"/>
  <c r="E72" i="89"/>
  <c r="D108" i="89" s="1"/>
  <c r="D132" i="89" s="1"/>
  <c r="E73" i="87"/>
  <c r="D109" i="87" s="1"/>
  <c r="D133" i="87" s="1"/>
  <c r="E73" i="83"/>
  <c r="D109" i="83" s="1"/>
  <c r="D133" i="83" s="1"/>
  <c r="J72" i="90"/>
  <c r="J74" i="90" s="1"/>
  <c r="D104" i="90" s="1"/>
  <c r="J71" i="89"/>
  <c r="J76" i="89" s="1"/>
  <c r="D104" i="85"/>
  <c r="E72" i="83"/>
  <c r="E76" i="83" s="1"/>
  <c r="E73" i="91"/>
  <c r="D109" i="91" s="1"/>
  <c r="D133" i="91" s="1"/>
  <c r="E72" i="90"/>
  <c r="E73" i="90"/>
  <c r="D109" i="90" s="1"/>
  <c r="D133" i="90" s="1"/>
  <c r="D136" i="89"/>
  <c r="E72" i="86"/>
  <c r="E74" i="86" s="1"/>
  <c r="D106" i="86" s="1"/>
  <c r="E106" i="86" s="1"/>
  <c r="F106" i="86" s="1"/>
  <c r="G106" i="86" s="1"/>
  <c r="H106" i="86" s="1"/>
  <c r="I106" i="86" s="1"/>
  <c r="E73" i="86"/>
  <c r="D109" i="86" s="1"/>
  <c r="D133" i="86" s="1"/>
  <c r="F110" i="91"/>
  <c r="F113" i="91"/>
  <c r="F104" i="91"/>
  <c r="F114" i="91" s="1"/>
  <c r="F127" i="91" s="1"/>
  <c r="F101" i="91"/>
  <c r="I113" i="91"/>
  <c r="I101" i="91"/>
  <c r="I110" i="91"/>
  <c r="I104" i="91"/>
  <c r="I114" i="91" s="1"/>
  <c r="I127" i="91" s="1"/>
  <c r="E72" i="91"/>
  <c r="E74" i="91" s="1"/>
  <c r="D106" i="91" s="1"/>
  <c r="E106" i="91" s="1"/>
  <c r="F106" i="91" s="1"/>
  <c r="G106" i="91" s="1"/>
  <c r="H106" i="91" s="1"/>
  <c r="I106" i="91" s="1"/>
  <c r="I108" i="91" s="1"/>
  <c r="I132" i="91" s="1"/>
  <c r="D113" i="91"/>
  <c r="G101" i="91"/>
  <c r="G113" i="91"/>
  <c r="G110" i="91"/>
  <c r="G104" i="91"/>
  <c r="G114" i="91" s="1"/>
  <c r="G127" i="91" s="1"/>
  <c r="J71" i="91"/>
  <c r="J76" i="91" s="1"/>
  <c r="H110" i="91"/>
  <c r="H101" i="91"/>
  <c r="H113" i="91"/>
  <c r="H104" i="91"/>
  <c r="H114" i="91" s="1"/>
  <c r="H127" i="91" s="1"/>
  <c r="D110" i="91"/>
  <c r="J72" i="91"/>
  <c r="J74" i="91" s="1"/>
  <c r="D104" i="91" s="1"/>
  <c r="D102" i="91"/>
  <c r="E104" i="91"/>
  <c r="E114" i="91" s="1"/>
  <c r="E127" i="91" s="1"/>
  <c r="E113" i="91"/>
  <c r="E101" i="91"/>
  <c r="E110" i="91"/>
  <c r="E75" i="91"/>
  <c r="D107" i="91" s="1"/>
  <c r="G101" i="90"/>
  <c r="G113" i="90"/>
  <c r="G110" i="90"/>
  <c r="J71" i="90"/>
  <c r="J76" i="90" s="1"/>
  <c r="G104" i="90"/>
  <c r="G114" i="90" s="1"/>
  <c r="G127" i="90" s="1"/>
  <c r="H101" i="90"/>
  <c r="H110" i="90"/>
  <c r="H113" i="90"/>
  <c r="H104" i="90"/>
  <c r="H114" i="90" s="1"/>
  <c r="H127" i="90" s="1"/>
  <c r="E74" i="90"/>
  <c r="D106" i="90" s="1"/>
  <c r="E106" i="90" s="1"/>
  <c r="F106" i="90" s="1"/>
  <c r="G106" i="90" s="1"/>
  <c r="H106" i="90" s="1"/>
  <c r="I106" i="90" s="1"/>
  <c r="I108" i="90" s="1"/>
  <c r="I132" i="90" s="1"/>
  <c r="D110" i="90"/>
  <c r="D113" i="90"/>
  <c r="E113" i="90"/>
  <c r="E110" i="90"/>
  <c r="E104" i="90"/>
  <c r="E114" i="90" s="1"/>
  <c r="E127" i="90" s="1"/>
  <c r="E101" i="90"/>
  <c r="F113" i="90"/>
  <c r="F101" i="90"/>
  <c r="F104" i="90"/>
  <c r="F114" i="90" s="1"/>
  <c r="F127" i="90" s="1"/>
  <c r="F110" i="90"/>
  <c r="I110" i="90"/>
  <c r="I101" i="90"/>
  <c r="I113" i="90"/>
  <c r="I104" i="90"/>
  <c r="I114" i="90" s="1"/>
  <c r="I127" i="90" s="1"/>
  <c r="D102" i="90"/>
  <c r="E75" i="90"/>
  <c r="D107" i="90" s="1"/>
  <c r="D113" i="89"/>
  <c r="D110" i="89"/>
  <c r="E74" i="89"/>
  <c r="D106" i="89" s="1"/>
  <c r="E106" i="89" s="1"/>
  <c r="F106" i="89" s="1"/>
  <c r="G106" i="89" s="1"/>
  <c r="H106" i="89" s="1"/>
  <c r="I106" i="89" s="1"/>
  <c r="I108" i="89" s="1"/>
  <c r="I132" i="89" s="1"/>
  <c r="H101" i="89"/>
  <c r="H113" i="89"/>
  <c r="H110" i="89"/>
  <c r="J72" i="89"/>
  <c r="J74" i="89" s="1"/>
  <c r="D104" i="89" s="1"/>
  <c r="E76" i="89"/>
  <c r="D111" i="89" s="1"/>
  <c r="E75" i="89"/>
  <c r="D107" i="89" s="1"/>
  <c r="E110" i="89"/>
  <c r="E104" i="89"/>
  <c r="E114" i="89" s="1"/>
  <c r="E127" i="89" s="1"/>
  <c r="E101" i="89"/>
  <c r="E113" i="89"/>
  <c r="D134" i="89"/>
  <c r="D137" i="89" s="1"/>
  <c r="H104" i="89"/>
  <c r="H114" i="89" s="1"/>
  <c r="H127" i="89" s="1"/>
  <c r="G101" i="89"/>
  <c r="G104" i="89"/>
  <c r="G114" i="89" s="1"/>
  <c r="G127" i="89" s="1"/>
  <c r="G110" i="89"/>
  <c r="G113" i="89"/>
  <c r="F110" i="89"/>
  <c r="F101" i="89"/>
  <c r="F113" i="89"/>
  <c r="I101" i="89"/>
  <c r="I110" i="89"/>
  <c r="I113" i="89"/>
  <c r="D102" i="89"/>
  <c r="F104" i="89"/>
  <c r="F114" i="89" s="1"/>
  <c r="F127" i="89" s="1"/>
  <c r="H113" i="88"/>
  <c r="H101" i="88"/>
  <c r="H110" i="88"/>
  <c r="D110" i="88"/>
  <c r="E101" i="88"/>
  <c r="E113" i="88"/>
  <c r="E110" i="88"/>
  <c r="F101" i="88"/>
  <c r="F104" i="88"/>
  <c r="F114" i="88" s="1"/>
  <c r="F127" i="88" s="1"/>
  <c r="F113" i="88"/>
  <c r="F110" i="88"/>
  <c r="I101" i="88"/>
  <c r="I110" i="88"/>
  <c r="I104" i="88"/>
  <c r="I114" i="88" s="1"/>
  <c r="I127" i="88" s="1"/>
  <c r="I113" i="88"/>
  <c r="D113" i="88"/>
  <c r="E73" i="88"/>
  <c r="D109" i="88" s="1"/>
  <c r="D133" i="88" s="1"/>
  <c r="H104" i="88"/>
  <c r="H114" i="88" s="1"/>
  <c r="H127" i="88" s="1"/>
  <c r="G113" i="88"/>
  <c r="G110" i="88"/>
  <c r="G101" i="88"/>
  <c r="J71" i="88"/>
  <c r="J76" i="88" s="1"/>
  <c r="D102" i="88"/>
  <c r="J75" i="88"/>
  <c r="E72" i="88"/>
  <c r="E74" i="88" s="1"/>
  <c r="D106" i="88" s="1"/>
  <c r="E106" i="88" s="1"/>
  <c r="G104" i="88"/>
  <c r="G114" i="88" s="1"/>
  <c r="G127" i="88" s="1"/>
  <c r="I113" i="87"/>
  <c r="I101" i="87"/>
  <c r="I110" i="87"/>
  <c r="D110" i="87"/>
  <c r="E72" i="87"/>
  <c r="E74" i="87" s="1"/>
  <c r="D106" i="87" s="1"/>
  <c r="E106" i="87" s="1"/>
  <c r="F106" i="87" s="1"/>
  <c r="G106" i="87" s="1"/>
  <c r="H106" i="87" s="1"/>
  <c r="I106" i="87" s="1"/>
  <c r="I108" i="87" s="1"/>
  <c r="I132" i="87" s="1"/>
  <c r="H101" i="87"/>
  <c r="H110" i="87"/>
  <c r="H113" i="87"/>
  <c r="F110" i="87"/>
  <c r="F101" i="87"/>
  <c r="F113" i="87"/>
  <c r="D113" i="87"/>
  <c r="I104" i="87"/>
  <c r="I114" i="87" s="1"/>
  <c r="I127" i="87" s="1"/>
  <c r="G101" i="87"/>
  <c r="G113" i="87"/>
  <c r="G110" i="87"/>
  <c r="J71" i="87"/>
  <c r="J76" i="87" s="1"/>
  <c r="E113" i="87"/>
  <c r="E101" i="87"/>
  <c r="E110" i="87"/>
  <c r="E75" i="87"/>
  <c r="D107" i="87" s="1"/>
  <c r="J72" i="87"/>
  <c r="J74" i="87" s="1"/>
  <c r="F104" i="87"/>
  <c r="F114" i="87" s="1"/>
  <c r="F127" i="87" s="1"/>
  <c r="G104" i="87"/>
  <c r="G114" i="87" s="1"/>
  <c r="G127" i="87" s="1"/>
  <c r="D110" i="86"/>
  <c r="G101" i="86"/>
  <c r="G108" i="86"/>
  <c r="G132" i="86" s="1"/>
  <c r="G113" i="86"/>
  <c r="G110" i="86"/>
  <c r="G104" i="86"/>
  <c r="G114" i="86" s="1"/>
  <c r="G127" i="86" s="1"/>
  <c r="D104" i="86"/>
  <c r="H108" i="86"/>
  <c r="H132" i="86" s="1"/>
  <c r="H113" i="86"/>
  <c r="H104" i="86"/>
  <c r="H114" i="86" s="1"/>
  <c r="H127" i="86" s="1"/>
  <c r="H110" i="86"/>
  <c r="H101" i="86"/>
  <c r="F110" i="86"/>
  <c r="F113" i="86"/>
  <c r="F101" i="86"/>
  <c r="F108" i="86"/>
  <c r="F132" i="86" s="1"/>
  <c r="I108" i="86"/>
  <c r="I132" i="86" s="1"/>
  <c r="I104" i="86"/>
  <c r="I114" i="86" s="1"/>
  <c r="I127" i="86" s="1"/>
  <c r="I101" i="86"/>
  <c r="I110" i="86"/>
  <c r="I113" i="86"/>
  <c r="E113" i="86"/>
  <c r="E108" i="86"/>
  <c r="E132" i="86" s="1"/>
  <c r="E101" i="86"/>
  <c r="E110" i="86"/>
  <c r="E104" i="86"/>
  <c r="E114" i="86" s="1"/>
  <c r="E127" i="86" s="1"/>
  <c r="D102" i="86"/>
  <c r="E72" i="85"/>
  <c r="E74" i="85" s="1"/>
  <c r="D106" i="85" s="1"/>
  <c r="E106" i="85" s="1"/>
  <c r="F110" i="85"/>
  <c r="F113" i="85"/>
  <c r="F101" i="85"/>
  <c r="E73" i="85"/>
  <c r="D110" i="85"/>
  <c r="E101" i="85"/>
  <c r="E110" i="85"/>
  <c r="E104" i="85"/>
  <c r="E114" i="85" s="1"/>
  <c r="E127" i="85" s="1"/>
  <c r="E113" i="85"/>
  <c r="D113" i="85"/>
  <c r="G101" i="85"/>
  <c r="G104" i="85"/>
  <c r="G114" i="85" s="1"/>
  <c r="G127" i="85" s="1"/>
  <c r="G110" i="85"/>
  <c r="G113" i="85"/>
  <c r="I113" i="85"/>
  <c r="I101" i="85"/>
  <c r="I104" i="85"/>
  <c r="I114" i="85" s="1"/>
  <c r="I127" i="85" s="1"/>
  <c r="I110" i="85"/>
  <c r="D102" i="85"/>
  <c r="H113" i="85"/>
  <c r="H101" i="85"/>
  <c r="H110" i="85"/>
  <c r="H104" i="85"/>
  <c r="H114" i="85" s="1"/>
  <c r="H127" i="85" s="1"/>
  <c r="F104" i="85"/>
  <c r="F114" i="85" s="1"/>
  <c r="F127" i="85" s="1"/>
  <c r="D110" i="84"/>
  <c r="E101" i="84"/>
  <c r="E110" i="84"/>
  <c r="E113" i="84"/>
  <c r="H101" i="84"/>
  <c r="H113" i="84"/>
  <c r="H104" i="84"/>
  <c r="H114" i="84" s="1"/>
  <c r="H127" i="84" s="1"/>
  <c r="H110" i="84"/>
  <c r="D102" i="84"/>
  <c r="E72" i="84"/>
  <c r="F101" i="84"/>
  <c r="F104" i="84"/>
  <c r="F114" i="84" s="1"/>
  <c r="F127" i="84" s="1"/>
  <c r="F113" i="84"/>
  <c r="F110" i="84"/>
  <c r="I101" i="84"/>
  <c r="I110" i="84"/>
  <c r="I104" i="84"/>
  <c r="I114" i="84" s="1"/>
  <c r="I127" i="84" s="1"/>
  <c r="I113" i="84"/>
  <c r="D113" i="84"/>
  <c r="E73" i="84"/>
  <c r="D109" i="84" s="1"/>
  <c r="D133" i="84" s="1"/>
  <c r="G110" i="84"/>
  <c r="G104" i="84"/>
  <c r="G114" i="84" s="1"/>
  <c r="G127" i="84" s="1"/>
  <c r="G113" i="84"/>
  <c r="G101" i="84"/>
  <c r="D104" i="84"/>
  <c r="E104" i="84"/>
  <c r="E114" i="84" s="1"/>
  <c r="E127" i="84" s="1"/>
  <c r="D113" i="83"/>
  <c r="E101" i="83"/>
  <c r="E110" i="83"/>
  <c r="E113" i="83"/>
  <c r="E104" i="83"/>
  <c r="E114" i="83" s="1"/>
  <c r="E127" i="83" s="1"/>
  <c r="F101" i="83"/>
  <c r="F113" i="83"/>
  <c r="F110" i="83"/>
  <c r="I101" i="83"/>
  <c r="I110" i="83"/>
  <c r="I104" i="83"/>
  <c r="I114" i="83" s="1"/>
  <c r="I127" i="83" s="1"/>
  <c r="I113" i="83"/>
  <c r="E75" i="83"/>
  <c r="D107" i="83" s="1"/>
  <c r="H101" i="83"/>
  <c r="H113" i="83"/>
  <c r="H110" i="83"/>
  <c r="D110" i="83"/>
  <c r="G110" i="83"/>
  <c r="G113" i="83"/>
  <c r="G101" i="83"/>
  <c r="D102" i="83"/>
  <c r="G104" i="83"/>
  <c r="G114" i="83" s="1"/>
  <c r="G127" i="83" s="1"/>
  <c r="J75" i="83" l="1"/>
  <c r="D114" i="83" s="1"/>
  <c r="D127" i="83" s="1"/>
  <c r="E74" i="83"/>
  <c r="D106" i="83" s="1"/>
  <c r="E106" i="83" s="1"/>
  <c r="F106" i="83" s="1"/>
  <c r="G106" i="83" s="1"/>
  <c r="H106" i="83" s="1"/>
  <c r="I106" i="83" s="1"/>
  <c r="I108" i="83" s="1"/>
  <c r="I132" i="83" s="1"/>
  <c r="E76" i="90"/>
  <c r="D111" i="90" s="1"/>
  <c r="D108" i="86"/>
  <c r="D132" i="86" s="1"/>
  <c r="D136" i="86" s="1"/>
  <c r="D111" i="83"/>
  <c r="E77" i="83"/>
  <c r="D112" i="83" s="1"/>
  <c r="D108" i="83"/>
  <c r="D132" i="83" s="1"/>
  <c r="D134" i="83" s="1"/>
  <c r="D137" i="83" s="1"/>
  <c r="E108" i="87"/>
  <c r="E132" i="87" s="1"/>
  <c r="D114" i="88"/>
  <c r="D127" i="88" s="1"/>
  <c r="D108" i="90"/>
  <c r="D132" i="90" s="1"/>
  <c r="D134" i="90" s="1"/>
  <c r="D137" i="90" s="1"/>
  <c r="G108" i="89"/>
  <c r="G132" i="89" s="1"/>
  <c r="F108" i="89"/>
  <c r="F132" i="89" s="1"/>
  <c r="E76" i="86"/>
  <c r="E75" i="86"/>
  <c r="D107" i="86" s="1"/>
  <c r="F107" i="86" s="1"/>
  <c r="F109" i="86" s="1"/>
  <c r="J75" i="90"/>
  <c r="E108" i="91"/>
  <c r="E132" i="91" s="1"/>
  <c r="F108" i="90"/>
  <c r="F132" i="90" s="1"/>
  <c r="F108" i="87"/>
  <c r="F132" i="87" s="1"/>
  <c r="E77" i="90"/>
  <c r="J75" i="89"/>
  <c r="H108" i="91"/>
  <c r="H132" i="91" s="1"/>
  <c r="I107" i="91"/>
  <c r="I109" i="91" s="1"/>
  <c r="E107" i="91"/>
  <c r="E109" i="91" s="1"/>
  <c r="H107" i="91"/>
  <c r="H109" i="91" s="1"/>
  <c r="G107" i="91"/>
  <c r="G109" i="91" s="1"/>
  <c r="F107" i="91"/>
  <c r="F109" i="91" s="1"/>
  <c r="J75" i="91"/>
  <c r="G108" i="91"/>
  <c r="G132" i="91" s="1"/>
  <c r="E76" i="91"/>
  <c r="D108" i="91"/>
  <c r="D132" i="91" s="1"/>
  <c r="F108" i="91"/>
  <c r="F132" i="91" s="1"/>
  <c r="E108" i="90"/>
  <c r="E132" i="90" s="1"/>
  <c r="H108" i="90"/>
  <c r="H132" i="90" s="1"/>
  <c r="G108" i="90"/>
  <c r="G132" i="90" s="1"/>
  <c r="I107" i="90"/>
  <c r="I109" i="90" s="1"/>
  <c r="E107" i="90"/>
  <c r="E109" i="90" s="1"/>
  <c r="H107" i="90"/>
  <c r="H109" i="90" s="1"/>
  <c r="G107" i="90"/>
  <c r="G109" i="90" s="1"/>
  <c r="F107" i="90"/>
  <c r="F109" i="90" s="1"/>
  <c r="E108" i="89"/>
  <c r="E132" i="89" s="1"/>
  <c r="H108" i="89"/>
  <c r="H132" i="89" s="1"/>
  <c r="I107" i="89"/>
  <c r="I109" i="89" s="1"/>
  <c r="E107" i="89"/>
  <c r="E109" i="89" s="1"/>
  <c r="H107" i="89"/>
  <c r="H109" i="89" s="1"/>
  <c r="G107" i="89"/>
  <c r="G109" i="89" s="1"/>
  <c r="F107" i="89"/>
  <c r="F109" i="89" s="1"/>
  <c r="E77" i="89"/>
  <c r="F106" i="88"/>
  <c r="E108" i="88"/>
  <c r="E132" i="88" s="1"/>
  <c r="E75" i="88"/>
  <c r="D107" i="88" s="1"/>
  <c r="E76" i="88"/>
  <c r="D108" i="88"/>
  <c r="D132" i="88" s="1"/>
  <c r="D134" i="88" s="1"/>
  <c r="D137" i="88" s="1"/>
  <c r="G108" i="87"/>
  <c r="G132" i="87" s="1"/>
  <c r="E76" i="87"/>
  <c r="D108" i="87"/>
  <c r="D132" i="87" s="1"/>
  <c r="I107" i="87"/>
  <c r="I109" i="87" s="1"/>
  <c r="E107" i="87"/>
  <c r="E109" i="87" s="1"/>
  <c r="H107" i="87"/>
  <c r="H109" i="87" s="1"/>
  <c r="G107" i="87"/>
  <c r="G109" i="87" s="1"/>
  <c r="F107" i="87"/>
  <c r="F109" i="87" s="1"/>
  <c r="H108" i="87"/>
  <c r="H132" i="87" s="1"/>
  <c r="D104" i="87"/>
  <c r="J75" i="87"/>
  <c r="D134" i="86"/>
  <c r="D137" i="86" s="1"/>
  <c r="F106" i="85"/>
  <c r="E108" i="85"/>
  <c r="E132" i="85" s="1"/>
  <c r="D109" i="85"/>
  <c r="D133" i="85" s="1"/>
  <c r="E75" i="85"/>
  <c r="D107" i="85" s="1"/>
  <c r="D108" i="85"/>
  <c r="D132" i="85" s="1"/>
  <c r="E76" i="85"/>
  <c r="E75" i="84"/>
  <c r="D107" i="84" s="1"/>
  <c r="E76" i="84"/>
  <c r="D108" i="84"/>
  <c r="D132" i="84" s="1"/>
  <c r="D134" i="84" s="1"/>
  <c r="D137" i="84" s="1"/>
  <c r="E74" i="84"/>
  <c r="D106" i="84" s="1"/>
  <c r="E106" i="84" s="1"/>
  <c r="I107" i="83"/>
  <c r="I109" i="83" s="1"/>
  <c r="E107" i="83"/>
  <c r="E109" i="83" s="1"/>
  <c r="H107" i="83"/>
  <c r="H109" i="83" s="1"/>
  <c r="G107" i="83"/>
  <c r="G109" i="83" s="1"/>
  <c r="F107" i="83"/>
  <c r="F109" i="83" s="1"/>
  <c r="D136" i="83"/>
  <c r="G108" i="83" l="1"/>
  <c r="G132" i="83" s="1"/>
  <c r="H108" i="83"/>
  <c r="H132" i="83" s="1"/>
  <c r="F108" i="83"/>
  <c r="F132" i="83" s="1"/>
  <c r="E108" i="83"/>
  <c r="E132" i="83" s="1"/>
  <c r="E79" i="83"/>
  <c r="D115" i="83" s="1"/>
  <c r="D128" i="83" s="1"/>
  <c r="D136" i="90"/>
  <c r="G107" i="86"/>
  <c r="G109" i="86" s="1"/>
  <c r="G111" i="86" s="1"/>
  <c r="G112" i="86" s="1"/>
  <c r="G115" i="86" s="1"/>
  <c r="G128" i="86" s="1"/>
  <c r="H107" i="86"/>
  <c r="H109" i="86" s="1"/>
  <c r="H133" i="86" s="1"/>
  <c r="E107" i="86"/>
  <c r="E109" i="86" s="1"/>
  <c r="E133" i="86" s="1"/>
  <c r="I107" i="86"/>
  <c r="I109" i="86" s="1"/>
  <c r="I111" i="86" s="1"/>
  <c r="I112" i="86" s="1"/>
  <c r="I115" i="86" s="1"/>
  <c r="I128" i="86" s="1"/>
  <c r="D114" i="84"/>
  <c r="D127" i="84" s="1"/>
  <c r="D114" i="91"/>
  <c r="D127" i="91" s="1"/>
  <c r="D114" i="86"/>
  <c r="D127" i="86" s="1"/>
  <c r="D114" i="87"/>
  <c r="D127" i="87" s="1"/>
  <c r="D114" i="89"/>
  <c r="D127" i="89" s="1"/>
  <c r="D114" i="85"/>
  <c r="D127" i="85" s="1"/>
  <c r="D114" i="90"/>
  <c r="D127" i="90" s="1"/>
  <c r="D111" i="86"/>
  <c r="E77" i="86"/>
  <c r="D112" i="90"/>
  <c r="E79" i="90"/>
  <c r="D136" i="91"/>
  <c r="D134" i="91"/>
  <c r="D137" i="91" s="1"/>
  <c r="F133" i="91"/>
  <c r="F111" i="91"/>
  <c r="F112" i="91" s="1"/>
  <c r="F115" i="91" s="1"/>
  <c r="F128" i="91" s="1"/>
  <c r="I111" i="91"/>
  <c r="I112" i="91" s="1"/>
  <c r="I115" i="91" s="1"/>
  <c r="I128" i="91" s="1"/>
  <c r="I133" i="91"/>
  <c r="D111" i="91"/>
  <c r="E77" i="91"/>
  <c r="G133" i="91"/>
  <c r="G111" i="91"/>
  <c r="G112" i="91" s="1"/>
  <c r="G115" i="91" s="1"/>
  <c r="G128" i="91" s="1"/>
  <c r="H133" i="91"/>
  <c r="H111" i="91"/>
  <c r="H112" i="91" s="1"/>
  <c r="H115" i="91" s="1"/>
  <c r="H128" i="91" s="1"/>
  <c r="E111" i="91"/>
  <c r="E112" i="91" s="1"/>
  <c r="E115" i="91" s="1"/>
  <c r="E128" i="91" s="1"/>
  <c r="E133" i="91"/>
  <c r="E111" i="90"/>
  <c r="E112" i="90" s="1"/>
  <c r="E115" i="90" s="1"/>
  <c r="E128" i="90" s="1"/>
  <c r="E133" i="90"/>
  <c r="F111" i="90"/>
  <c r="F112" i="90" s="1"/>
  <c r="F115" i="90" s="1"/>
  <c r="F128" i="90" s="1"/>
  <c r="F133" i="90"/>
  <c r="I111" i="90"/>
  <c r="I112" i="90" s="1"/>
  <c r="I115" i="90" s="1"/>
  <c r="I128" i="90" s="1"/>
  <c r="I133" i="90"/>
  <c r="H133" i="90"/>
  <c r="H111" i="90"/>
  <c r="H112" i="90" s="1"/>
  <c r="H115" i="90" s="1"/>
  <c r="H128" i="90" s="1"/>
  <c r="G133" i="90"/>
  <c r="G111" i="90"/>
  <c r="G112" i="90" s="1"/>
  <c r="G115" i="90" s="1"/>
  <c r="G128" i="90" s="1"/>
  <c r="G133" i="89"/>
  <c r="G111" i="89"/>
  <c r="G112" i="89" s="1"/>
  <c r="G115" i="89" s="1"/>
  <c r="G128" i="89" s="1"/>
  <c r="F133" i="89"/>
  <c r="F111" i="89"/>
  <c r="F112" i="89" s="1"/>
  <c r="F115" i="89" s="1"/>
  <c r="F128" i="89" s="1"/>
  <c r="D112" i="89"/>
  <c r="E79" i="89"/>
  <c r="H133" i="89"/>
  <c r="H111" i="89"/>
  <c r="H112" i="89" s="1"/>
  <c r="H115" i="89" s="1"/>
  <c r="H128" i="89" s="1"/>
  <c r="I111" i="89"/>
  <c r="I112" i="89" s="1"/>
  <c r="I115" i="89" s="1"/>
  <c r="I128" i="89" s="1"/>
  <c r="I133" i="89"/>
  <c r="E111" i="89"/>
  <c r="E112" i="89" s="1"/>
  <c r="E115" i="89" s="1"/>
  <c r="E128" i="89" s="1"/>
  <c r="E133" i="89"/>
  <c r="I107" i="88"/>
  <c r="I109" i="88" s="1"/>
  <c r="E107" i="88"/>
  <c r="E109" i="88" s="1"/>
  <c r="H107" i="88"/>
  <c r="H109" i="88" s="1"/>
  <c r="G107" i="88"/>
  <c r="G109" i="88" s="1"/>
  <c r="F107" i="88"/>
  <c r="F109" i="88" s="1"/>
  <c r="D136" i="88"/>
  <c r="D111" i="88"/>
  <c r="E77" i="88"/>
  <c r="G106" i="88"/>
  <c r="F108" i="88"/>
  <c r="F132" i="88" s="1"/>
  <c r="H133" i="87"/>
  <c r="H111" i="87"/>
  <c r="H112" i="87" s="1"/>
  <c r="H115" i="87" s="1"/>
  <c r="H128" i="87" s="1"/>
  <c r="D134" i="87"/>
  <c r="D137" i="87" s="1"/>
  <c r="D136" i="87"/>
  <c r="E111" i="87"/>
  <c r="E112" i="87" s="1"/>
  <c r="E115" i="87" s="1"/>
  <c r="E128" i="87" s="1"/>
  <c r="E133" i="87"/>
  <c r="D111" i="87"/>
  <c r="E77" i="87"/>
  <c r="F133" i="87"/>
  <c r="F111" i="87"/>
  <c r="F112" i="87" s="1"/>
  <c r="F115" i="87" s="1"/>
  <c r="F128" i="87" s="1"/>
  <c r="I111" i="87"/>
  <c r="I112" i="87" s="1"/>
  <c r="I115" i="87" s="1"/>
  <c r="I128" i="87" s="1"/>
  <c r="I133" i="87"/>
  <c r="G133" i="87"/>
  <c r="G111" i="87"/>
  <c r="G112" i="87" s="1"/>
  <c r="G115" i="87" s="1"/>
  <c r="G128" i="87" s="1"/>
  <c r="G133" i="86"/>
  <c r="F133" i="86"/>
  <c r="F111" i="86"/>
  <c r="F112" i="86" s="1"/>
  <c r="F115" i="86" s="1"/>
  <c r="F128" i="86" s="1"/>
  <c r="D136" i="85"/>
  <c r="D134" i="85"/>
  <c r="D137" i="85" s="1"/>
  <c r="D111" i="85"/>
  <c r="E77" i="85"/>
  <c r="I107" i="85"/>
  <c r="I109" i="85" s="1"/>
  <c r="E107" i="85"/>
  <c r="E109" i="85" s="1"/>
  <c r="F107" i="85"/>
  <c r="F109" i="85" s="1"/>
  <c r="H107" i="85"/>
  <c r="H109" i="85" s="1"/>
  <c r="G107" i="85"/>
  <c r="G109" i="85" s="1"/>
  <c r="G106" i="85"/>
  <c r="F108" i="85"/>
  <c r="F132" i="85" s="1"/>
  <c r="F106" i="84"/>
  <c r="E108" i="84"/>
  <c r="E132" i="84" s="1"/>
  <c r="D136" i="84"/>
  <c r="D111" i="84"/>
  <c r="E77" i="84"/>
  <c r="I107" i="84"/>
  <c r="I109" i="84" s="1"/>
  <c r="E107" i="84"/>
  <c r="E109" i="84" s="1"/>
  <c r="H107" i="84"/>
  <c r="H109" i="84" s="1"/>
  <c r="G107" i="84"/>
  <c r="G109" i="84" s="1"/>
  <c r="F107" i="84"/>
  <c r="F109" i="84" s="1"/>
  <c r="E133" i="83"/>
  <c r="F133" i="83"/>
  <c r="I111" i="83"/>
  <c r="I112" i="83" s="1"/>
  <c r="I115" i="83" s="1"/>
  <c r="I128" i="83" s="1"/>
  <c r="I133" i="83"/>
  <c r="G133" i="83"/>
  <c r="H133" i="83"/>
  <c r="G111" i="83" l="1"/>
  <c r="G112" i="83" s="1"/>
  <c r="G115" i="83" s="1"/>
  <c r="G128" i="83" s="1"/>
  <c r="E111" i="83"/>
  <c r="E112" i="83" s="1"/>
  <c r="E115" i="83" s="1"/>
  <c r="E128" i="83" s="1"/>
  <c r="F111" i="83"/>
  <c r="F112" i="83" s="1"/>
  <c r="F115" i="83" s="1"/>
  <c r="F128" i="83" s="1"/>
  <c r="H111" i="83"/>
  <c r="H112" i="83" s="1"/>
  <c r="H115" i="83" s="1"/>
  <c r="H128" i="83" s="1"/>
  <c r="D80" i="83"/>
  <c r="H111" i="86"/>
  <c r="H112" i="86" s="1"/>
  <c r="H115" i="86" s="1"/>
  <c r="H128" i="86" s="1"/>
  <c r="E111" i="86"/>
  <c r="E112" i="86" s="1"/>
  <c r="E115" i="86" s="1"/>
  <c r="E128" i="86" s="1"/>
  <c r="I133" i="86"/>
  <c r="E79" i="86"/>
  <c r="D112" i="86"/>
  <c r="D115" i="90"/>
  <c r="D128" i="90" s="1"/>
  <c r="D80" i="90"/>
  <c r="D112" i="91"/>
  <c r="E79" i="91"/>
  <c r="H136" i="91"/>
  <c r="H134" i="91"/>
  <c r="H137" i="91" s="1"/>
  <c r="F136" i="91"/>
  <c r="F134" i="91"/>
  <c r="F137" i="91" s="1"/>
  <c r="E136" i="91"/>
  <c r="E134" i="91"/>
  <c r="E137" i="91" s="1"/>
  <c r="I136" i="91"/>
  <c r="I134" i="91"/>
  <c r="I137" i="91" s="1"/>
  <c r="G136" i="91"/>
  <c r="G134" i="91"/>
  <c r="G137" i="91" s="1"/>
  <c r="F136" i="90"/>
  <c r="F134" i="90"/>
  <c r="F137" i="90" s="1"/>
  <c r="H136" i="90"/>
  <c r="H134" i="90"/>
  <c r="H137" i="90" s="1"/>
  <c r="E136" i="90"/>
  <c r="E134" i="90"/>
  <c r="E137" i="90" s="1"/>
  <c r="I136" i="90"/>
  <c r="I134" i="90"/>
  <c r="I137" i="90" s="1"/>
  <c r="G136" i="90"/>
  <c r="G134" i="90"/>
  <c r="G137" i="90" s="1"/>
  <c r="H136" i="89"/>
  <c r="H134" i="89"/>
  <c r="H137" i="89" s="1"/>
  <c r="F136" i="89"/>
  <c r="F134" i="89"/>
  <c r="F137" i="89" s="1"/>
  <c r="E136" i="89"/>
  <c r="E134" i="89"/>
  <c r="E137" i="89" s="1"/>
  <c r="I136" i="89"/>
  <c r="I134" i="89"/>
  <c r="I137" i="89" s="1"/>
  <c r="D115" i="89"/>
  <c r="D128" i="89" s="1"/>
  <c r="D80" i="89"/>
  <c r="G136" i="89"/>
  <c r="G134" i="89"/>
  <c r="G137" i="89" s="1"/>
  <c r="D112" i="88"/>
  <c r="E79" i="88"/>
  <c r="G133" i="88"/>
  <c r="H133" i="88"/>
  <c r="E111" i="88"/>
  <c r="E112" i="88" s="1"/>
  <c r="E115" i="88" s="1"/>
  <c r="E128" i="88" s="1"/>
  <c r="E133" i="88"/>
  <c r="H106" i="88"/>
  <c r="G108" i="88"/>
  <c r="G132" i="88" s="1"/>
  <c r="F111" i="88"/>
  <c r="F112" i="88" s="1"/>
  <c r="F115" i="88" s="1"/>
  <c r="F128" i="88" s="1"/>
  <c r="F133" i="88"/>
  <c r="I133" i="88"/>
  <c r="I136" i="87"/>
  <c r="I134" i="87"/>
  <c r="I137" i="87" s="1"/>
  <c r="D112" i="87"/>
  <c r="E79" i="87"/>
  <c r="E136" i="87"/>
  <c r="E134" i="87"/>
  <c r="E137" i="87" s="1"/>
  <c r="G136" i="87"/>
  <c r="G134" i="87"/>
  <c r="G137" i="87" s="1"/>
  <c r="F136" i="87"/>
  <c r="F134" i="87"/>
  <c r="F137" i="87" s="1"/>
  <c r="H136" i="87"/>
  <c r="H134" i="87"/>
  <c r="H137" i="87" s="1"/>
  <c r="F136" i="86"/>
  <c r="F134" i="86"/>
  <c r="F137" i="86" s="1"/>
  <c r="I136" i="86"/>
  <c r="I134" i="86"/>
  <c r="I137" i="86" s="1"/>
  <c r="E136" i="86"/>
  <c r="E134" i="86"/>
  <c r="E137" i="86" s="1"/>
  <c r="H136" i="86"/>
  <c r="H134" i="86"/>
  <c r="H137" i="86" s="1"/>
  <c r="G136" i="86"/>
  <c r="G134" i="86"/>
  <c r="G137" i="86" s="1"/>
  <c r="H133" i="85"/>
  <c r="D112" i="85"/>
  <c r="E79" i="85"/>
  <c r="F111" i="85"/>
  <c r="F112" i="85" s="1"/>
  <c r="F115" i="85" s="1"/>
  <c r="F128" i="85" s="1"/>
  <c r="F133" i="85"/>
  <c r="H106" i="85"/>
  <c r="G108" i="85"/>
  <c r="G132" i="85" s="1"/>
  <c r="E111" i="85"/>
  <c r="E112" i="85" s="1"/>
  <c r="E115" i="85" s="1"/>
  <c r="E128" i="85" s="1"/>
  <c r="E133" i="85"/>
  <c r="G133" i="85"/>
  <c r="I133" i="85"/>
  <c r="E111" i="84"/>
  <c r="E112" i="84" s="1"/>
  <c r="E115" i="84" s="1"/>
  <c r="E128" i="84" s="1"/>
  <c r="E133" i="84"/>
  <c r="I133" i="84"/>
  <c r="H133" i="84"/>
  <c r="F133" i="84"/>
  <c r="G133" i="84"/>
  <c r="D112" i="84"/>
  <c r="E79" i="84"/>
  <c r="G106" i="84"/>
  <c r="F108" i="84"/>
  <c r="F132" i="84" s="1"/>
  <c r="E136" i="83"/>
  <c r="E134" i="83"/>
  <c r="E137" i="83" s="1"/>
  <c r="H136" i="83"/>
  <c r="H134" i="83"/>
  <c r="H137" i="83" s="1"/>
  <c r="I136" i="83"/>
  <c r="I134" i="83"/>
  <c r="I137" i="83" s="1"/>
  <c r="G136" i="83"/>
  <c r="G134" i="83"/>
  <c r="G137" i="83" s="1"/>
  <c r="F136" i="83"/>
  <c r="F134" i="83"/>
  <c r="F137" i="83" s="1"/>
  <c r="D80" i="86" l="1"/>
  <c r="D115" i="86"/>
  <c r="D128" i="86" s="1"/>
  <c r="D115" i="91"/>
  <c r="D128" i="91" s="1"/>
  <c r="D80" i="91"/>
  <c r="F136" i="88"/>
  <c r="F134" i="88"/>
  <c r="F137" i="88" s="1"/>
  <c r="E136" i="88"/>
  <c r="E134" i="88"/>
  <c r="E137" i="88" s="1"/>
  <c r="G111" i="88"/>
  <c r="G112" i="88" s="1"/>
  <c r="G115" i="88" s="1"/>
  <c r="G128" i="88" s="1"/>
  <c r="G136" i="88"/>
  <c r="G134" i="88"/>
  <c r="G137" i="88" s="1"/>
  <c r="D115" i="88"/>
  <c r="D128" i="88" s="1"/>
  <c r="D80" i="88"/>
  <c r="I106" i="88"/>
  <c r="I108" i="88" s="1"/>
  <c r="H108" i="88"/>
  <c r="D115" i="87"/>
  <c r="D128" i="87" s="1"/>
  <c r="D80" i="87"/>
  <c r="D115" i="85"/>
  <c r="D128" i="85" s="1"/>
  <c r="D80" i="85"/>
  <c r="G111" i="85"/>
  <c r="G112" i="85" s="1"/>
  <c r="G115" i="85" s="1"/>
  <c r="G128" i="85" s="1"/>
  <c r="G136" i="85"/>
  <c r="G134" i="85"/>
  <c r="G137" i="85" s="1"/>
  <c r="I106" i="85"/>
  <c r="I108" i="85" s="1"/>
  <c r="H108" i="85"/>
  <c r="E136" i="85"/>
  <c r="E134" i="85"/>
  <c r="E137" i="85" s="1"/>
  <c r="F136" i="85"/>
  <c r="F134" i="85"/>
  <c r="F137" i="85" s="1"/>
  <c r="F111" i="84"/>
  <c r="F112" i="84" s="1"/>
  <c r="F115" i="84" s="1"/>
  <c r="F128" i="84" s="1"/>
  <c r="F136" i="84"/>
  <c r="F134" i="84"/>
  <c r="F137" i="84" s="1"/>
  <c r="E136" i="84"/>
  <c r="E134" i="84"/>
  <c r="E137" i="84" s="1"/>
  <c r="D115" i="84"/>
  <c r="D128" i="84" s="1"/>
  <c r="D80" i="84"/>
  <c r="H106" i="84"/>
  <c r="G108" i="84"/>
  <c r="I132" i="88" l="1"/>
  <c r="I111" i="88"/>
  <c r="I112" i="88" s="1"/>
  <c r="I115" i="88" s="1"/>
  <c r="I128" i="88" s="1"/>
  <c r="H132" i="88"/>
  <c r="H111" i="88"/>
  <c r="H112" i="88" s="1"/>
  <c r="H115" i="88" s="1"/>
  <c r="H128" i="88" s="1"/>
  <c r="I132" i="85"/>
  <c r="I111" i="85"/>
  <c r="I112" i="85" s="1"/>
  <c r="I115" i="85" s="1"/>
  <c r="I128" i="85" s="1"/>
  <c r="H132" i="85"/>
  <c r="H111" i="85"/>
  <c r="H112" i="85" s="1"/>
  <c r="H115" i="85" s="1"/>
  <c r="H128" i="85" s="1"/>
  <c r="I106" i="84"/>
  <c r="I108" i="84" s="1"/>
  <c r="H108" i="84"/>
  <c r="G132" i="84"/>
  <c r="G111" i="84"/>
  <c r="G112" i="84" s="1"/>
  <c r="G115" i="84" s="1"/>
  <c r="G128" i="84" s="1"/>
  <c r="H136" i="88" l="1"/>
  <c r="H134" i="88"/>
  <c r="H137" i="88" s="1"/>
  <c r="I134" i="88"/>
  <c r="I137" i="88" s="1"/>
  <c r="I136" i="88"/>
  <c r="H136" i="85"/>
  <c r="H134" i="85"/>
  <c r="H137" i="85" s="1"/>
  <c r="I136" i="85"/>
  <c r="I134" i="85"/>
  <c r="I137" i="85" s="1"/>
  <c r="G134" i="84"/>
  <c r="G137" i="84" s="1"/>
  <c r="G136" i="84"/>
  <c r="H132" i="84"/>
  <c r="H111" i="84"/>
  <c r="H112" i="84" s="1"/>
  <c r="H115" i="84" s="1"/>
  <c r="H128" i="84" s="1"/>
  <c r="I132" i="84"/>
  <c r="I111" i="84"/>
  <c r="I112" i="84" s="1"/>
  <c r="I115" i="84" s="1"/>
  <c r="I128" i="84" s="1"/>
  <c r="H136" i="84" l="1"/>
  <c r="H134" i="84"/>
  <c r="H137" i="84" s="1"/>
  <c r="I134" i="84"/>
  <c r="I137" i="84" s="1"/>
  <c r="I136" i="84"/>
  <c r="R104" i="81" l="1"/>
  <c r="Q103" i="81"/>
  <c r="R102" i="81"/>
  <c r="Q101" i="81"/>
  <c r="R100" i="81"/>
  <c r="Q99" i="81"/>
  <c r="R98" i="81"/>
  <c r="Q97" i="81"/>
  <c r="R96" i="81"/>
  <c r="Q95" i="81"/>
  <c r="R94" i="81"/>
  <c r="Q93" i="81"/>
  <c r="R92" i="81"/>
  <c r="Q91" i="81"/>
  <c r="R90" i="81"/>
  <c r="Q89" i="81"/>
  <c r="R88" i="81"/>
  <c r="Q87" i="81"/>
  <c r="R86" i="81"/>
  <c r="Q85" i="81"/>
  <c r="R84" i="81"/>
  <c r="Q83" i="81"/>
  <c r="R82" i="81"/>
  <c r="Q81" i="81"/>
  <c r="R68" i="81"/>
  <c r="R66" i="81"/>
  <c r="R64" i="81"/>
  <c r="R62" i="81"/>
  <c r="R60" i="81"/>
  <c r="R58" i="81"/>
  <c r="Q67" i="81"/>
  <c r="Q65" i="81"/>
  <c r="Q63" i="81"/>
  <c r="Q61" i="81"/>
  <c r="Q59" i="81"/>
  <c r="Q57" i="81"/>
  <c r="H67" i="81"/>
  <c r="P68" i="81" s="1"/>
  <c r="P73" i="81"/>
  <c r="R47" i="81"/>
  <c r="Q46" i="81"/>
  <c r="R45" i="81"/>
  <c r="Q44" i="81"/>
  <c r="R43" i="81"/>
  <c r="Q42" i="81"/>
  <c r="R41" i="81"/>
  <c r="Q40" i="81"/>
  <c r="R39" i="81"/>
  <c r="Q38" i="81"/>
  <c r="R37" i="81"/>
  <c r="Q36" i="81"/>
  <c r="R35" i="81"/>
  <c r="Q34" i="81"/>
  <c r="R33" i="81"/>
  <c r="Q32" i="81"/>
  <c r="R31" i="81"/>
  <c r="Q30" i="81"/>
  <c r="R29" i="81"/>
  <c r="Q28" i="81"/>
  <c r="R27" i="81"/>
  <c r="Q26" i="81"/>
  <c r="R25" i="81"/>
  <c r="Q24" i="81"/>
  <c r="I135" i="47"/>
  <c r="H135" i="47"/>
  <c r="G135" i="47"/>
  <c r="F135" i="47"/>
  <c r="E135" i="47"/>
  <c r="I129" i="47"/>
  <c r="H129" i="47"/>
  <c r="G129" i="47"/>
  <c r="F129" i="47"/>
  <c r="E129" i="47"/>
  <c r="D53" i="47"/>
  <c r="E53" i="47"/>
  <c r="D54" i="47"/>
  <c r="E54" i="47"/>
  <c r="D55" i="47"/>
  <c r="B55" i="47" s="1"/>
  <c r="E55" i="47"/>
  <c r="D56" i="47"/>
  <c r="E56" i="47"/>
  <c r="D57" i="47"/>
  <c r="B57" i="47" s="1"/>
  <c r="E57" i="47"/>
  <c r="D58" i="47"/>
  <c r="E58" i="47"/>
  <c r="D59" i="47"/>
  <c r="E59" i="47"/>
  <c r="D60" i="47"/>
  <c r="E60" i="47"/>
  <c r="D61" i="47"/>
  <c r="B61" i="47" s="1"/>
  <c r="E61" i="47"/>
  <c r="D62" i="47"/>
  <c r="E62" i="47"/>
  <c r="D63" i="47"/>
  <c r="B63" i="47" s="1"/>
  <c r="E63" i="47"/>
  <c r="D64" i="47"/>
  <c r="E64" i="47"/>
  <c r="D65" i="47"/>
  <c r="B65" i="47" s="1"/>
  <c r="E65" i="47"/>
  <c r="D66" i="47"/>
  <c r="E66" i="47"/>
  <c r="D67" i="47"/>
  <c r="B67" i="47" s="1"/>
  <c r="E67" i="47"/>
  <c r="D8" i="47"/>
  <c r="H74" i="47" s="1"/>
  <c r="G19" i="47"/>
  <c r="G21" i="47"/>
  <c r="G20" i="47"/>
  <c r="G23" i="47"/>
  <c r="R23" i="47" s="1"/>
  <c r="G22" i="47"/>
  <c r="G25" i="47"/>
  <c r="G24" i="47"/>
  <c r="R24" i="47" s="1"/>
  <c r="G27" i="47"/>
  <c r="R27" i="47" s="1"/>
  <c r="G26" i="47"/>
  <c r="R26" i="47" s="1"/>
  <c r="G29" i="47"/>
  <c r="G28" i="47"/>
  <c r="G31" i="47"/>
  <c r="R31" i="47" s="1"/>
  <c r="G30" i="47"/>
  <c r="R30" i="47" s="1"/>
  <c r="G33" i="47"/>
  <c r="G32" i="47"/>
  <c r="R32" i="47" s="1"/>
  <c r="G35" i="47"/>
  <c r="R35" i="47" s="1"/>
  <c r="G34" i="47"/>
  <c r="R34" i="47" s="1"/>
  <c r="G37" i="47"/>
  <c r="G36" i="47"/>
  <c r="G39" i="47"/>
  <c r="R39" i="47" s="1"/>
  <c r="G38" i="47"/>
  <c r="G41" i="47"/>
  <c r="G40" i="47"/>
  <c r="R40" i="47" s="1"/>
  <c r="G43" i="47"/>
  <c r="R43" i="47" s="1"/>
  <c r="G42" i="47"/>
  <c r="R42" i="47" s="1"/>
  <c r="G45" i="47"/>
  <c r="G44" i="47"/>
  <c r="R44" i="47" s="1"/>
  <c r="G47" i="47"/>
  <c r="R47" i="47" s="1"/>
  <c r="G46" i="47"/>
  <c r="R46" i="47" s="1"/>
  <c r="T32" i="33"/>
  <c r="T25" i="33"/>
  <c r="T31" i="33" s="1"/>
  <c r="S25" i="33"/>
  <c r="S31" i="33" s="1"/>
  <c r="R25" i="33"/>
  <c r="R31" i="33" s="1"/>
  <c r="Q25" i="33"/>
  <c r="Q31" i="33" s="1"/>
  <c r="P25" i="33"/>
  <c r="P31" i="33" s="1"/>
  <c r="O25" i="33"/>
  <c r="O31" i="33" s="1"/>
  <c r="N25" i="33"/>
  <c r="N31" i="33" s="1"/>
  <c r="M25" i="33"/>
  <c r="M31" i="33" s="1"/>
  <c r="L25" i="33"/>
  <c r="L31" i="33" s="1"/>
  <c r="D96" i="47"/>
  <c r="F96" i="47" s="1"/>
  <c r="K25" i="33"/>
  <c r="S32" i="33"/>
  <c r="R32" i="33"/>
  <c r="Q32" i="33"/>
  <c r="P32" i="33"/>
  <c r="O32" i="33"/>
  <c r="N32" i="33"/>
  <c r="M32" i="33"/>
  <c r="L32" i="33"/>
  <c r="B53" i="47"/>
  <c r="D13" i="47"/>
  <c r="D98" i="47" s="1"/>
  <c r="T22" i="33"/>
  <c r="S22" i="33"/>
  <c r="R22" i="33"/>
  <c r="Q22" i="33"/>
  <c r="P22" i="33"/>
  <c r="O22" i="33"/>
  <c r="N22" i="33"/>
  <c r="K22" i="33"/>
  <c r="M22" i="33"/>
  <c r="L22" i="33"/>
  <c r="D12" i="83" s="1"/>
  <c r="G18" i="47"/>
  <c r="R18" i="47" s="1"/>
  <c r="D6" i="47"/>
  <c r="F125" i="47"/>
  <c r="G125" i="47"/>
  <c r="H125" i="47"/>
  <c r="I125" i="47"/>
  <c r="F126" i="47"/>
  <c r="G126" i="47"/>
  <c r="H126" i="47"/>
  <c r="I126" i="47"/>
  <c r="E126" i="47"/>
  <c r="E125" i="47"/>
  <c r="J126" i="47"/>
  <c r="C126" i="47"/>
  <c r="J125" i="47"/>
  <c r="C125" i="47"/>
  <c r="D11" i="47"/>
  <c r="D97" i="47" s="1"/>
  <c r="D9" i="47"/>
  <c r="D5" i="47"/>
  <c r="R21" i="47"/>
  <c r="R25" i="47"/>
  <c r="R29" i="47"/>
  <c r="R33" i="47"/>
  <c r="R37" i="47"/>
  <c r="R41" i="47"/>
  <c r="R45" i="47"/>
  <c r="H24" i="47" l="1"/>
  <c r="H21" i="47"/>
  <c r="K73" i="47"/>
  <c r="I102" i="47"/>
  <c r="H34" i="47"/>
  <c r="J100" i="47"/>
  <c r="F16" i="47"/>
  <c r="C105" i="47"/>
  <c r="E52" i="47"/>
  <c r="C104" i="47"/>
  <c r="G62" i="47"/>
  <c r="E17" i="47"/>
  <c r="D50" i="47"/>
  <c r="K74" i="47"/>
  <c r="J96" i="47"/>
  <c r="H70" i="47"/>
  <c r="C102" i="47"/>
  <c r="I67" i="47"/>
  <c r="I53" i="47"/>
  <c r="I58" i="47"/>
  <c r="F17" i="47"/>
  <c r="E50" i="47"/>
  <c r="J97" i="47"/>
  <c r="C99" i="47"/>
  <c r="H73" i="47"/>
  <c r="J105" i="47"/>
  <c r="I131" i="47"/>
  <c r="H55" i="47"/>
  <c r="G63" i="47"/>
  <c r="R17" i="47"/>
  <c r="E16" i="47"/>
  <c r="D52" i="47"/>
  <c r="K70" i="47"/>
  <c r="J99" i="47"/>
  <c r="C100" i="47"/>
  <c r="G55" i="47"/>
  <c r="G131" i="47"/>
  <c r="H59" i="47"/>
  <c r="E10" i="47"/>
  <c r="G54" i="47"/>
  <c r="F56" i="47"/>
  <c r="F64" i="47"/>
  <c r="H32" i="47"/>
  <c r="H40" i="47"/>
  <c r="J104" i="47"/>
  <c r="E131" i="47"/>
  <c r="H67" i="47"/>
  <c r="G67" i="47"/>
  <c r="H44" i="47"/>
  <c r="I55" i="47"/>
  <c r="H63" i="47"/>
  <c r="H61" i="47"/>
  <c r="H45" i="47"/>
  <c r="H35" i="47"/>
  <c r="H29" i="47"/>
  <c r="H37" i="47"/>
  <c r="H25" i="47"/>
  <c r="H46" i="47"/>
  <c r="H47" i="47"/>
  <c r="H42" i="47"/>
  <c r="H43" i="47"/>
  <c r="H38" i="47"/>
  <c r="H36" i="47"/>
  <c r="H30" i="47"/>
  <c r="H31" i="47"/>
  <c r="H28" i="47"/>
  <c r="H26" i="47"/>
  <c r="H27" i="47"/>
  <c r="H22" i="47"/>
  <c r="H20" i="47"/>
  <c r="H19" i="47"/>
  <c r="R19" i="47"/>
  <c r="F54" i="47"/>
  <c r="F58" i="47"/>
  <c r="F62" i="47"/>
  <c r="F66" i="47"/>
  <c r="E11" i="47"/>
  <c r="D125" i="47"/>
  <c r="F102" i="47"/>
  <c r="H102" i="47"/>
  <c r="D100" i="47"/>
  <c r="F105" i="47" s="1"/>
  <c r="E130" i="47"/>
  <c r="F130" i="47"/>
  <c r="G130" i="47"/>
  <c r="H130" i="47"/>
  <c r="I130" i="47"/>
  <c r="C101" i="47"/>
  <c r="C97" i="47"/>
  <c r="E9" i="47"/>
  <c r="J102" i="47"/>
  <c r="G60" i="47"/>
  <c r="G53" i="47"/>
  <c r="G57" i="47"/>
  <c r="G61" i="47"/>
  <c r="B66" i="47"/>
  <c r="H66" i="47"/>
  <c r="I66" i="47"/>
  <c r="I65" i="47"/>
  <c r="B64" i="47"/>
  <c r="H64" i="47"/>
  <c r="I64" i="47"/>
  <c r="B62" i="47"/>
  <c r="H62" i="47"/>
  <c r="I62" i="47"/>
  <c r="B60" i="47"/>
  <c r="H60" i="47"/>
  <c r="I59" i="47"/>
  <c r="B58" i="47"/>
  <c r="H58" i="47"/>
  <c r="I57" i="47"/>
  <c r="B56" i="47"/>
  <c r="H56" i="47"/>
  <c r="I56" i="47"/>
  <c r="B54" i="47"/>
  <c r="H54" i="47"/>
  <c r="I54" i="47"/>
  <c r="G58" i="47"/>
  <c r="G66" i="47"/>
  <c r="G65" i="47"/>
  <c r="G59" i="47"/>
  <c r="I61" i="47"/>
  <c r="H41" i="47"/>
  <c r="H23" i="47"/>
  <c r="H33" i="47"/>
  <c r="H39" i="47"/>
  <c r="I63" i="47"/>
  <c r="I60" i="47"/>
  <c r="G64" i="47"/>
  <c r="R38" i="47"/>
  <c r="R36" i="47"/>
  <c r="R28" i="47"/>
  <c r="R22" i="47"/>
  <c r="R20" i="47"/>
  <c r="C96" i="47"/>
  <c r="H131" i="47"/>
  <c r="F131" i="47"/>
  <c r="E102" i="47"/>
  <c r="G102" i="47"/>
  <c r="H65" i="47"/>
  <c r="H57" i="47"/>
  <c r="D126" i="47"/>
  <c r="F60" i="47"/>
  <c r="B59" i="47"/>
  <c r="F53" i="47"/>
  <c r="G56" i="47"/>
  <c r="D99" i="47"/>
  <c r="D103" i="47" s="1"/>
  <c r="F67" i="47"/>
  <c r="F65" i="47"/>
  <c r="F63" i="47"/>
  <c r="F61" i="47"/>
  <c r="F59" i="47"/>
  <c r="F57" i="47"/>
  <c r="F55" i="47"/>
  <c r="O57" i="81"/>
  <c r="O59" i="81"/>
  <c r="O61" i="81"/>
  <c r="O63" i="81"/>
  <c r="O65" i="81"/>
  <c r="O67" i="81"/>
  <c r="P58" i="81"/>
  <c r="P60" i="81"/>
  <c r="P62" i="81"/>
  <c r="P64" i="81"/>
  <c r="P66" i="81"/>
  <c r="I96" i="47"/>
  <c r="E96" i="47"/>
  <c r="E101" i="47" s="1"/>
  <c r="G96" i="47"/>
  <c r="G101" i="47" s="1"/>
  <c r="G97" i="47"/>
  <c r="E97" i="47"/>
  <c r="F101" i="47"/>
  <c r="H97" i="47"/>
  <c r="H96" i="47"/>
  <c r="I97" i="47"/>
  <c r="F97" i="47"/>
  <c r="F113" i="47" s="1"/>
  <c r="L65" i="47" l="1"/>
  <c r="E113" i="47"/>
  <c r="L62" i="47"/>
  <c r="J55" i="47"/>
  <c r="J62" i="47"/>
  <c r="I110" i="47"/>
  <c r="F110" i="47"/>
  <c r="F104" i="47"/>
  <c r="F114" i="47" s="1"/>
  <c r="F127" i="47" s="1"/>
  <c r="J54" i="47"/>
  <c r="E48" i="47"/>
  <c r="J56" i="47"/>
  <c r="L61" i="47"/>
  <c r="L59" i="47"/>
  <c r="L66" i="47"/>
  <c r="L56" i="47"/>
  <c r="L67" i="47"/>
  <c r="E104" i="47"/>
  <c r="E114" i="47" s="1"/>
  <c r="E127" i="47" s="1"/>
  <c r="E71" i="47"/>
  <c r="J64" i="47"/>
  <c r="L64" i="47"/>
  <c r="J58" i="47"/>
  <c r="L60" i="47"/>
  <c r="J65" i="47"/>
  <c r="E78" i="47"/>
  <c r="D113" i="47" s="1"/>
  <c r="E70" i="47"/>
  <c r="D110" i="47" s="1"/>
  <c r="H105" i="47"/>
  <c r="L63" i="47"/>
  <c r="L58" i="47"/>
  <c r="L54" i="47"/>
  <c r="E110" i="47"/>
  <c r="J57" i="47"/>
  <c r="J66" i="47"/>
  <c r="J70" i="47"/>
  <c r="J73" i="47" s="1"/>
  <c r="M63" i="47"/>
  <c r="N63" i="47"/>
  <c r="M55" i="47"/>
  <c r="N55" i="47"/>
  <c r="M53" i="47"/>
  <c r="N53" i="47"/>
  <c r="M59" i="47"/>
  <c r="N59" i="47"/>
  <c r="M65" i="47"/>
  <c r="N65" i="47"/>
  <c r="M67" i="47"/>
  <c r="N67" i="47"/>
  <c r="M62" i="47"/>
  <c r="N62" i="47"/>
  <c r="M61" i="47"/>
  <c r="N61" i="47"/>
  <c r="E105" i="47"/>
  <c r="G105" i="47"/>
  <c r="L57" i="47"/>
  <c r="I105" i="47"/>
  <c r="M60" i="47"/>
  <c r="N60" i="47"/>
  <c r="N64" i="47"/>
  <c r="M64" i="47"/>
  <c r="J60" i="47"/>
  <c r="N54" i="47"/>
  <c r="M54" i="47"/>
  <c r="M57" i="47"/>
  <c r="N57" i="47"/>
  <c r="N56" i="47"/>
  <c r="M56" i="47"/>
  <c r="M58" i="47"/>
  <c r="N58" i="47"/>
  <c r="M66" i="47"/>
  <c r="N66" i="47"/>
  <c r="L53" i="47"/>
  <c r="J53" i="47"/>
  <c r="P72" i="81"/>
  <c r="P74" i="81" s="1"/>
  <c r="D101" i="47"/>
  <c r="I104" i="47"/>
  <c r="I114" i="47" s="1"/>
  <c r="I127" i="47" s="1"/>
  <c r="D131" i="47"/>
  <c r="J63" i="47"/>
  <c r="J61" i="47"/>
  <c r="D130" i="47"/>
  <c r="L55" i="47"/>
  <c r="J59" i="47"/>
  <c r="J67" i="47"/>
  <c r="I101" i="47"/>
  <c r="I113" i="47"/>
  <c r="G104" i="47"/>
  <c r="G114" i="47" s="1"/>
  <c r="G127" i="47" s="1"/>
  <c r="G110" i="47"/>
  <c r="G113" i="47"/>
  <c r="H104" i="47"/>
  <c r="H114" i="47" s="1"/>
  <c r="H127" i="47" s="1"/>
  <c r="H110" i="47"/>
  <c r="H113" i="47"/>
  <c r="H101" i="47"/>
  <c r="D102" i="47" l="1"/>
  <c r="E72" i="47"/>
  <c r="J72" i="47"/>
  <c r="J74" i="47" s="1"/>
  <c r="D104" i="47" s="1"/>
  <c r="E73" i="47"/>
  <c r="J71" i="47"/>
  <c r="J76" i="47" s="1"/>
  <c r="J75" i="47" l="1"/>
  <c r="D114" i="47" s="1"/>
  <c r="D127" i="47" s="1"/>
  <c r="E76" i="47"/>
  <c r="D108" i="47"/>
  <c r="D132" i="47" s="1"/>
  <c r="E74" i="47"/>
  <c r="D106" i="47" s="1"/>
  <c r="E106" i="47" s="1"/>
  <c r="D109" i="47"/>
  <c r="D133" i="47" s="1"/>
  <c r="E75" i="47"/>
  <c r="D107" i="47" s="1"/>
  <c r="K32" i="33" l="1"/>
  <c r="G107" i="47"/>
  <c r="G109" i="47" s="1"/>
  <c r="F107" i="47"/>
  <c r="F109" i="47" s="1"/>
  <c r="E107" i="47"/>
  <c r="E109" i="47" s="1"/>
  <c r="H107" i="47"/>
  <c r="H109" i="47" s="1"/>
  <c r="H133" i="47" s="1"/>
  <c r="I107" i="47"/>
  <c r="I109" i="47" s="1"/>
  <c r="I133" i="47" s="1"/>
  <c r="D134" i="47"/>
  <c r="D137" i="47" s="1"/>
  <c r="D136" i="47"/>
  <c r="F106" i="47"/>
  <c r="E108" i="47"/>
  <c r="E132" i="47" s="1"/>
  <c r="D111" i="47"/>
  <c r="E77" i="47"/>
  <c r="G106" i="47" l="1"/>
  <c r="F108" i="47"/>
  <c r="F132" i="47" s="1"/>
  <c r="E111" i="47"/>
  <c r="E112" i="47" s="1"/>
  <c r="E115" i="47" s="1"/>
  <c r="E128" i="47" s="1"/>
  <c r="E133" i="47"/>
  <c r="G133" i="47"/>
  <c r="D112" i="47"/>
  <c r="E79" i="47"/>
  <c r="F133" i="47"/>
  <c r="F136" i="47" l="1"/>
  <c r="F134" i="47"/>
  <c r="F137" i="47" s="1"/>
  <c r="E136" i="47"/>
  <c r="E134" i="47"/>
  <c r="E137" i="47" s="1"/>
  <c r="F111" i="47"/>
  <c r="F112" i="47" s="1"/>
  <c r="F115" i="47" s="1"/>
  <c r="F128" i="47" s="1"/>
  <c r="D80" i="47"/>
  <c r="D115" i="47"/>
  <c r="D128" i="47" s="1"/>
  <c r="K31" i="33"/>
  <c r="H106" i="47"/>
  <c r="G108" i="47"/>
  <c r="G132" i="47" l="1"/>
  <c r="G111" i="47"/>
  <c r="G112" i="47" s="1"/>
  <c r="G115" i="47" s="1"/>
  <c r="G128" i="47" s="1"/>
  <c r="I106" i="47"/>
  <c r="I108" i="47" s="1"/>
  <c r="H108" i="47"/>
  <c r="H111" i="47" l="1"/>
  <c r="H112" i="47" s="1"/>
  <c r="H115" i="47" s="1"/>
  <c r="H128" i="47" s="1"/>
  <c r="H132" i="47"/>
  <c r="I132" i="47"/>
  <c r="I111" i="47"/>
  <c r="I112" i="47" s="1"/>
  <c r="I115" i="47" s="1"/>
  <c r="I128" i="47" s="1"/>
  <c r="G136" i="47"/>
  <c r="G134" i="47"/>
  <c r="G137" i="47" s="1"/>
  <c r="H134" i="47" l="1"/>
  <c r="H137" i="47" s="1"/>
  <c r="H136" i="47"/>
  <c r="I136" i="47"/>
  <c r="I134" i="47"/>
  <c r="I137" i="4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TSC</author>
  </authors>
  <commentList>
    <comment ref="L51" authorId="0" shapeId="0" xr:uid="{00000000-0006-0000-0200-000001000000}">
      <text>
        <r>
          <rPr>
            <b/>
            <sz val="8"/>
            <color indexed="81"/>
            <rFont val="Tahoma"/>
            <family val="2"/>
          </rPr>
          <t>Function of diameter of the inlet pipe and the volume at the beginning of the fill cycle.</t>
        </r>
      </text>
    </comment>
    <comment ref="C76" authorId="0" shapeId="0" xr:uid="{00000000-0006-0000-0200-000002000000}">
      <text>
        <r>
          <rPr>
            <b/>
            <sz val="8"/>
            <color indexed="81"/>
            <rFont val="Tahoma"/>
            <family val="2"/>
          </rPr>
          <t>Average time between the end of last fill cycle and the beginning of the next fill cycle.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TSC</author>
  </authors>
  <commentList>
    <comment ref="L51" authorId="0" shapeId="0" xr:uid="{4060443D-09D8-468B-A58C-1FD19DAE18DE}">
      <text>
        <r>
          <rPr>
            <b/>
            <sz val="8"/>
            <color indexed="81"/>
            <rFont val="Tahoma"/>
            <family val="2"/>
          </rPr>
          <t>Function of diameter of the inlet pipe and the volume at the beginning of the fill cycle.</t>
        </r>
      </text>
    </comment>
    <comment ref="C76" authorId="0" shapeId="0" xr:uid="{D2E72FC4-97D6-40B3-B8C0-DC16549403FF}">
      <text>
        <r>
          <rPr>
            <b/>
            <sz val="8"/>
            <color indexed="81"/>
            <rFont val="Tahoma"/>
            <family val="2"/>
          </rPr>
          <t>Average time between the end of last fill cycle and the beginning of the next fill cycle.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TSC</author>
  </authors>
  <commentList>
    <comment ref="L51" authorId="0" shapeId="0" xr:uid="{B004A08C-CC57-47B8-B6F9-62B1596827B5}">
      <text>
        <r>
          <rPr>
            <b/>
            <sz val="8"/>
            <color indexed="81"/>
            <rFont val="Tahoma"/>
            <family val="2"/>
          </rPr>
          <t>Function of diameter of the inlet pipe and the volume at the beginning of the fill cycle.</t>
        </r>
      </text>
    </comment>
    <comment ref="C76" authorId="0" shapeId="0" xr:uid="{BF724DA6-515E-4CD6-B3CB-97A77C7D7BE9}">
      <text>
        <r>
          <rPr>
            <b/>
            <sz val="8"/>
            <color indexed="81"/>
            <rFont val="Tahoma"/>
            <family val="2"/>
          </rPr>
          <t>Average time between the end of last fill cycle and the beginning of the next fill cycle.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TSC</author>
  </authors>
  <commentList>
    <comment ref="L51" authorId="0" shapeId="0" xr:uid="{4BD1F97E-F179-4D02-A8CD-1885FBB6A550}">
      <text>
        <r>
          <rPr>
            <b/>
            <sz val="8"/>
            <color indexed="81"/>
            <rFont val="Tahoma"/>
            <family val="2"/>
          </rPr>
          <t>Function of diameter of the inlet pipe and the volume at the beginning of the fill cycle.</t>
        </r>
      </text>
    </comment>
    <comment ref="C76" authorId="0" shapeId="0" xr:uid="{7E9F445B-E264-48C9-B1DA-D1DE373DFC2A}">
      <text>
        <r>
          <rPr>
            <b/>
            <sz val="8"/>
            <color indexed="81"/>
            <rFont val="Tahoma"/>
            <family val="2"/>
          </rPr>
          <t>Average time between the end of last fill cycle and the beginning of the next fill cycle.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TSC</author>
  </authors>
  <commentList>
    <comment ref="L51" authorId="0" shapeId="0" xr:uid="{6D9F2ADE-F7F0-4891-8438-B0A292562FBD}">
      <text>
        <r>
          <rPr>
            <b/>
            <sz val="8"/>
            <color indexed="81"/>
            <rFont val="Tahoma"/>
            <family val="2"/>
          </rPr>
          <t>Function of diameter of the inlet pipe and the volume at the beginning of the fill cycle.</t>
        </r>
      </text>
    </comment>
    <comment ref="C76" authorId="0" shapeId="0" xr:uid="{17F480A4-A766-4140-9850-2CEA8F6EA90D}">
      <text>
        <r>
          <rPr>
            <b/>
            <sz val="8"/>
            <color indexed="81"/>
            <rFont val="Tahoma"/>
            <family val="2"/>
          </rPr>
          <t>Average time between the end of last fill cycle and the beginning of the next fill cycle.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TSC</author>
  </authors>
  <commentList>
    <comment ref="L51" authorId="0" shapeId="0" xr:uid="{9FC4A5FE-59F7-47F3-A8FA-EA1608FA1301}">
      <text>
        <r>
          <rPr>
            <b/>
            <sz val="8"/>
            <color indexed="81"/>
            <rFont val="Tahoma"/>
            <family val="2"/>
          </rPr>
          <t>Function of diameter of the inlet pipe and the volume at the beginning of the fill cycle.</t>
        </r>
      </text>
    </comment>
    <comment ref="C76" authorId="0" shapeId="0" xr:uid="{DB6BEBD8-DBA0-41C5-A990-9A6B23B970D5}">
      <text>
        <r>
          <rPr>
            <b/>
            <sz val="8"/>
            <color indexed="81"/>
            <rFont val="Tahoma"/>
            <family val="2"/>
          </rPr>
          <t>Average time between the end of last fill cycle and the beginning of the next fill cycle.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TSC</author>
  </authors>
  <commentList>
    <comment ref="L51" authorId="0" shapeId="0" xr:uid="{8D5D5EF0-B6F4-4D6C-946B-D4702CDD659E}">
      <text>
        <r>
          <rPr>
            <b/>
            <sz val="8"/>
            <color indexed="81"/>
            <rFont val="Tahoma"/>
            <family val="2"/>
          </rPr>
          <t>Function of diameter of the inlet pipe and the volume at the beginning of the fill cycle.</t>
        </r>
      </text>
    </comment>
    <comment ref="C76" authorId="0" shapeId="0" xr:uid="{79EB5CBE-ACB3-4EA3-AD71-40658DED7CD1}">
      <text>
        <r>
          <rPr>
            <b/>
            <sz val="8"/>
            <color indexed="81"/>
            <rFont val="Tahoma"/>
            <family val="2"/>
          </rPr>
          <t>Average time between the end of last fill cycle and the beginning of the next fill cycle.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TSC</author>
  </authors>
  <commentList>
    <comment ref="L51" authorId="0" shapeId="0" xr:uid="{DE9DC7E6-140E-49A7-AE6B-154E39671243}">
      <text>
        <r>
          <rPr>
            <b/>
            <sz val="8"/>
            <color indexed="81"/>
            <rFont val="Tahoma"/>
            <family val="2"/>
          </rPr>
          <t>Function of diameter of the inlet pipe and the volume at the beginning of the fill cycle.</t>
        </r>
      </text>
    </comment>
    <comment ref="C76" authorId="0" shapeId="0" xr:uid="{7AEB1EB0-A8B6-43A1-8A85-0E425D6B1ACE}">
      <text>
        <r>
          <rPr>
            <b/>
            <sz val="8"/>
            <color indexed="81"/>
            <rFont val="Tahoma"/>
            <family val="2"/>
          </rPr>
          <t>Average time between the end of last fill cycle and the beginning of the next fill cycle.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TSC</author>
  </authors>
  <commentList>
    <comment ref="L51" authorId="0" shapeId="0" xr:uid="{8E86BD0B-2A01-4EA6-9037-325F5F750DF2}">
      <text>
        <r>
          <rPr>
            <b/>
            <sz val="8"/>
            <color indexed="81"/>
            <rFont val="Tahoma"/>
            <family val="2"/>
          </rPr>
          <t>Function of diameter of the inlet pipe and the volume at the beginning of the fill cycle.</t>
        </r>
      </text>
    </comment>
    <comment ref="C76" authorId="0" shapeId="0" xr:uid="{75953ABD-9A2D-4CC2-AD31-0DAD4BBF5438}">
      <text>
        <r>
          <rPr>
            <b/>
            <sz val="8"/>
            <color indexed="81"/>
            <rFont val="Tahoma"/>
            <family val="2"/>
          </rPr>
          <t>Average time between the end of last fill cycle and the beginning of the next fill cycle.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TSC</author>
  </authors>
  <commentList>
    <comment ref="L51" authorId="0" shapeId="0" xr:uid="{18B7C334-672A-43C0-B3BC-F5F8199D1834}">
      <text>
        <r>
          <rPr>
            <b/>
            <sz val="8"/>
            <color indexed="81"/>
            <rFont val="Tahoma"/>
            <family val="2"/>
          </rPr>
          <t>Function of diameter of the inlet pipe and the volume at the beginning of the fill cycle.</t>
        </r>
      </text>
    </comment>
    <comment ref="C76" authorId="0" shapeId="0" xr:uid="{4D56F0C1-69B1-4700-8CF8-6D6C387978B7}">
      <text>
        <r>
          <rPr>
            <b/>
            <sz val="8"/>
            <color indexed="81"/>
            <rFont val="Tahoma"/>
            <family val="2"/>
          </rPr>
          <t>Average time between the end of last fill cycle and the beginning of the next fill cycle.</t>
        </r>
      </text>
    </comment>
  </commentList>
</comments>
</file>

<file path=xl/sharedStrings.xml><?xml version="1.0" encoding="utf-8"?>
<sst xmlns="http://schemas.openxmlformats.org/spreadsheetml/2006/main" count="1725" uniqueCount="309">
  <si>
    <t>Fill period</t>
  </si>
  <si>
    <t>ft</t>
  </si>
  <si>
    <t>days</t>
  </si>
  <si>
    <t>MGD</t>
  </si>
  <si>
    <t xml:space="preserve">MG </t>
  </si>
  <si>
    <t>MG</t>
  </si>
  <si>
    <t>Ave Tank Vol</t>
  </si>
  <si>
    <t>Tank Name:</t>
  </si>
  <si>
    <t>Turnover Time</t>
  </si>
  <si>
    <t xml:space="preserve">Actual </t>
  </si>
  <si>
    <t>Inlet diameter, d:</t>
  </si>
  <si>
    <t>Mixing calculations</t>
  </si>
  <si>
    <t>Req'd</t>
  </si>
  <si>
    <t>Vol at start</t>
  </si>
  <si>
    <t>of fill cycle</t>
  </si>
  <si>
    <t>during fill cycle</t>
  </si>
  <si>
    <t>Vol added</t>
  </si>
  <si>
    <t>(MG)</t>
  </si>
  <si>
    <t>Mixing Summary</t>
  </si>
  <si>
    <t>Date</t>
  </si>
  <si>
    <t>Time</t>
  </si>
  <si>
    <t>Date + Time</t>
  </si>
  <si>
    <t>Delta Time</t>
  </si>
  <si>
    <t>Days</t>
  </si>
  <si>
    <t>Fill Time</t>
  </si>
  <si>
    <t>Draw Time</t>
  </si>
  <si>
    <t>gpm</t>
  </si>
  <si>
    <t>No Changes</t>
  </si>
  <si>
    <t>Avg Fill Rate</t>
  </si>
  <si>
    <t>Avg Draw Rate</t>
  </si>
  <si>
    <t>Inlet Diameter</t>
  </si>
  <si>
    <t>inches</t>
  </si>
  <si>
    <t>Volume Exchange Fraction (VEF)</t>
  </si>
  <si>
    <t>Name of Tank</t>
  </si>
  <si>
    <t>Volume (MG)</t>
  </si>
  <si>
    <t>Mixing Performance Ratio (Measured/ Desired)</t>
  </si>
  <si>
    <t>Avg Fill Time</t>
  </si>
  <si>
    <t>Avg Draw Time</t>
  </si>
  <si>
    <t>Avg Duration (Fill + Draw Time)</t>
  </si>
  <si>
    <t>Avg Vol Added in One Fill Period</t>
  </si>
  <si>
    <t xml:space="preserve">                                                                        Turnover Summary</t>
  </si>
  <si>
    <t xml:space="preserve">Volume drawn </t>
  </si>
  <si>
    <t>during drain cycle</t>
  </si>
  <si>
    <t>Avg Vol Drawn in One Drain Period</t>
  </si>
  <si>
    <t>Avg Tank Vol</t>
  </si>
  <si>
    <t>Scenario A</t>
  </si>
  <si>
    <t>Scenario B</t>
  </si>
  <si>
    <t>Scenario C</t>
  </si>
  <si>
    <t>Scenario D</t>
  </si>
  <si>
    <t>Scenario E</t>
  </si>
  <si>
    <t>Notes:</t>
  </si>
  <si>
    <t xml:space="preserve">Instructions:  </t>
  </si>
  <si>
    <t>Avg Duration (fill +draw)</t>
  </si>
  <si>
    <t>Avg Flow Rate into tank</t>
  </si>
  <si>
    <t>Inlet Diameter Needed for Good Mixing</t>
  </si>
  <si>
    <t>Avg Actual VEF</t>
  </si>
  <si>
    <t>Avg VEF Needed for Good Mixing</t>
  </si>
  <si>
    <t>Mixing Performance Ratio (Measured/Desired)</t>
  </si>
  <si>
    <t>(days)</t>
  </si>
  <si>
    <t>Tank Summary</t>
  </si>
  <si>
    <t>Tank Glossary</t>
  </si>
  <si>
    <t>Tank Shape:</t>
  </si>
  <si>
    <t>Tank Dimensions:</t>
  </si>
  <si>
    <t>The remaining data is automatically calculated based on the data entered above:</t>
  </si>
  <si>
    <t>Cylindrical (C), Rectangular (R), Hydropillar (H), or None of these (n)?</t>
  </si>
  <si>
    <t xml:space="preserve">Instructions:  Five scenarios are available for experimenting with changing tank operations to improve turnover time.  Experiment with lowering the both the Max and Min levels, </t>
  </si>
  <si>
    <r>
      <t xml:space="preserve">If </t>
    </r>
    <r>
      <rPr>
        <b/>
        <sz val="10"/>
        <rFont val="Arial"/>
        <family val="2"/>
      </rPr>
      <t>none</t>
    </r>
    <r>
      <rPr>
        <sz val="10"/>
        <rFont val="Arial"/>
        <family val="2"/>
      </rPr>
      <t>, does SCADA report volume (or % full) rather than level?</t>
    </r>
  </si>
  <si>
    <t>Min Volume (gal)</t>
  </si>
  <si>
    <t>Max Volume (gal)</t>
  </si>
  <si>
    <t>Min Water Level (ft)</t>
  </si>
  <si>
    <t>Max Water Level (ft)</t>
  </si>
  <si>
    <t>Min Percent Full</t>
  </si>
  <si>
    <t>Max Percent Full</t>
  </si>
  <si>
    <t>Pressure (psi)</t>
  </si>
  <si>
    <t>Minimum</t>
  </si>
  <si>
    <t>Maximum</t>
  </si>
  <si>
    <r>
      <t>day</t>
    </r>
    <r>
      <rPr>
        <b/>
        <vertAlign val="superscript"/>
        <sz val="10"/>
        <rFont val="Arial"/>
        <family val="2"/>
      </rPr>
      <t>-1</t>
    </r>
  </si>
  <si>
    <t xml:space="preserve">These five scenarios are also available for experimenting with reducing inlet diameter to improve mixing.  Note that improving the level change will also improve mixing.  </t>
  </si>
  <si>
    <t>mg/L</t>
  </si>
  <si>
    <t>No Changes - Estimated Current Conditions</t>
  </si>
  <si>
    <t>Volume at Start of Fill Cycle (Ve)</t>
  </si>
  <si>
    <t>Volume at end of fill period (or at the start of the draw period) (Vf)</t>
  </si>
  <si>
    <t>Avg draw time (Te)</t>
  </si>
  <si>
    <t>Avg fill time (Tf)</t>
  </si>
  <si>
    <t>Chlorine Decay Rate Constant (determined from bottle test) (k)</t>
  </si>
  <si>
    <t>Concentration entering the tank (from field data) (Ce)</t>
  </si>
  <si>
    <t xml:space="preserve">Instructions:  Five scenarios are available for estimating the minimum chlorine concentration exiting a completely mixed or plug flow tank during a </t>
  </si>
  <si>
    <t>Mixing Performance Ratio</t>
  </si>
  <si>
    <t>drain cycle.  This analysis may be able to 1) identify if the performance problem at the tank is due to incomplete mixing, 2) determine the chlorine concentration</t>
  </si>
  <si>
    <t>needed to enter the tank in order to achieve target chlorine residuals leaving the tank, or 3) determine the chlorine decay rate needed at the tank in order to</t>
  </si>
  <si>
    <r>
      <t xml:space="preserve">achieve target chlorine residuals leaving the tank. </t>
    </r>
    <r>
      <rPr>
        <b/>
        <sz val="10"/>
        <color indexed="48"/>
        <rFont val="Arial"/>
        <family val="2"/>
      </rPr>
      <t xml:space="preserve"> Remember - ideal tank performance is complete mixing! </t>
    </r>
    <r>
      <rPr>
        <b/>
        <sz val="10"/>
        <rFont val="Arial"/>
        <family val="2"/>
      </rPr>
      <t xml:space="preserve"> </t>
    </r>
    <r>
      <rPr>
        <b/>
        <sz val="10"/>
        <color indexed="10"/>
        <rFont val="Arial"/>
        <family val="2"/>
      </rPr>
      <t xml:space="preserve">Modify data shown in red. </t>
    </r>
    <r>
      <rPr>
        <b/>
        <sz val="10"/>
        <rFont val="Arial"/>
        <family val="2"/>
      </rPr>
      <t xml:space="preserve"> </t>
    </r>
  </si>
  <si>
    <t>Maximum time that a water parcel stays in a plug flow tank (Tmax)</t>
  </si>
  <si>
    <t>References</t>
  </si>
  <si>
    <r>
      <t xml:space="preserve">Roberts, P.J.W., Tian, X., Lee, S., Sotiropoulos, F., and Duer, M. (2005).  </t>
    </r>
    <r>
      <rPr>
        <i/>
        <sz val="10"/>
        <rFont val="Arial"/>
        <family val="2"/>
      </rPr>
      <t>Physical Model of Mixing in Water Storage Tanks</t>
    </r>
    <r>
      <rPr>
        <sz val="10"/>
        <rFont val="Arial"/>
        <family val="2"/>
      </rPr>
      <t>, Denver, CO:  American Water Works Research Foundation.</t>
    </r>
  </si>
  <si>
    <t>Dimensionless Mixing Time</t>
  </si>
  <si>
    <r>
      <t xml:space="preserve">Rossman, L.A. and Grayman, W.M. (August 1999) Scale-Model Studies of Mixing in Drinking Water Storage Tanks, </t>
    </r>
    <r>
      <rPr>
        <i/>
        <sz val="10"/>
        <rFont val="Arial"/>
        <family val="2"/>
      </rPr>
      <t>Journal of Environmental Engineering</t>
    </r>
    <r>
      <rPr>
        <sz val="10"/>
        <rFont val="Arial"/>
        <family val="2"/>
      </rPr>
      <t>.</t>
    </r>
  </si>
  <si>
    <t>Volume, MG:</t>
  </si>
  <si>
    <t>Tank #7 Worksheet</t>
  </si>
  <si>
    <t>Tank #9 Worksheet</t>
  </si>
  <si>
    <t>Tank #1</t>
  </si>
  <si>
    <t>Tank #2</t>
  </si>
  <si>
    <t>Tank #3</t>
  </si>
  <si>
    <t>Tank #4</t>
  </si>
  <si>
    <t>Tank #5</t>
  </si>
  <si>
    <t>Tank #6</t>
  </si>
  <si>
    <t>Tank #7</t>
  </si>
  <si>
    <t>Tank #8</t>
  </si>
  <si>
    <t>Tank #9</t>
  </si>
  <si>
    <r>
      <t>Plug Flow:</t>
    </r>
    <r>
      <rPr>
        <b/>
        <sz val="10"/>
        <rFont val="Arial"/>
        <family val="2"/>
      </rPr>
      <t xml:space="preserve">  Minimum concentration leaving the tank</t>
    </r>
    <r>
      <rPr>
        <b/>
        <vertAlign val="superscript"/>
        <sz val="10"/>
        <rFont val="Arial"/>
        <family val="2"/>
      </rPr>
      <t>1, 2</t>
    </r>
  </si>
  <si>
    <r>
      <t>Complete Mixing:</t>
    </r>
    <r>
      <rPr>
        <b/>
        <sz val="10"/>
        <rFont val="Arial"/>
        <family val="2"/>
      </rPr>
      <t xml:space="preserve"> Minimum concentration leaving the tank</t>
    </r>
    <r>
      <rPr>
        <b/>
        <vertAlign val="superscript"/>
        <sz val="10"/>
        <rFont val="Arial"/>
        <family val="2"/>
      </rPr>
      <t>1, 2</t>
    </r>
  </si>
  <si>
    <t>1. Equation from p. 211 - Water Quality Modeling in DS Storage Tanks" AWWARF study</t>
  </si>
  <si>
    <t>Tank #6 Worksheet</t>
  </si>
  <si>
    <t>Overview</t>
  </si>
  <si>
    <t xml:space="preserve">1.  Gather necessary input data:  </t>
  </si>
  <si>
    <r>
      <t xml:space="preserve">3.  Complete </t>
    </r>
    <r>
      <rPr>
        <i/>
        <sz val="10"/>
        <rFont val="Arial"/>
        <family val="2"/>
      </rPr>
      <t xml:space="preserve">Tank </t>
    </r>
    <r>
      <rPr>
        <sz val="10"/>
        <rFont val="Arial"/>
        <family val="2"/>
      </rPr>
      <t>worksheet(s).</t>
    </r>
  </si>
  <si>
    <r>
      <t xml:space="preserve">     b.  Enter tank level (depth or percent full) with corresponding time and date into the </t>
    </r>
    <r>
      <rPr>
        <i/>
        <sz val="10"/>
        <rFont val="Arial"/>
        <family val="2"/>
      </rPr>
      <t>Tank</t>
    </r>
    <r>
      <rPr>
        <sz val="10"/>
        <rFont val="Arial"/>
        <family val="2"/>
      </rPr>
      <t xml:space="preserve"> worksheet. </t>
    </r>
  </si>
  <si>
    <r>
      <t xml:space="preserve">4.  Review assessment summary on the </t>
    </r>
    <r>
      <rPr>
        <i/>
        <sz val="10"/>
        <rFont val="Arial"/>
        <family val="2"/>
      </rPr>
      <t xml:space="preserve">Tank </t>
    </r>
    <r>
      <rPr>
        <sz val="10"/>
        <rFont val="Arial"/>
        <family val="2"/>
      </rPr>
      <t>worksheet to determine the estimated average tank turnover and mixing estimations.</t>
    </r>
  </si>
  <si>
    <t>Applications and Limitations</t>
  </si>
  <si>
    <t>•  The tank turnover and mixing estimations are not applicable for every tank.  The spreadsheet has several limitations that should be considered before it is used to estimate performance.</t>
  </si>
  <si>
    <t>•  Tank turnover estimations do not apply to the following:</t>
  </si>
  <si>
    <t xml:space="preserve">     •  Tanks that operate with simultaneous inflow and outflow (i.e., "flow-through" tanks).</t>
  </si>
  <si>
    <t>•  Mixing estimations do not apply to the following:</t>
  </si>
  <si>
    <t xml:space="preserve">     •  Tanks that contain baffling, pillars, static or mechanical mixers.</t>
  </si>
  <si>
    <t xml:space="preserve">     •  Tanks that are thermally stratified.</t>
  </si>
  <si>
    <t xml:space="preserve">     •  Tanks where inlet is not centrally located (e.g., near the tank wall).</t>
  </si>
  <si>
    <r>
      <t xml:space="preserve">Section II.  Tank Calculations (from </t>
    </r>
    <r>
      <rPr>
        <b/>
        <i/>
        <sz val="10"/>
        <rFont val="Arial"/>
        <family val="2"/>
      </rPr>
      <t>Tank</t>
    </r>
    <r>
      <rPr>
        <b/>
        <sz val="10"/>
        <rFont val="Arial"/>
        <family val="2"/>
      </rPr>
      <t xml:space="preserve"> worksheets)</t>
    </r>
  </si>
  <si>
    <t>Average Turnover Time (days)</t>
  </si>
  <si>
    <t xml:space="preserve">**If turnover time and/or mixing estimations do not apply this section may be blank. </t>
  </si>
  <si>
    <t xml:space="preserve">     a.  Tank Design Data -  physical characteristics (e.g., volume, shape) that can be found using tank drawings. </t>
  </si>
  <si>
    <t xml:space="preserve">     b.  Tank Level Data - water level changes over a period of time (1-2 week period) that can be obtained from SCADA, data loggers, or other recording devices.</t>
  </si>
  <si>
    <t>Instructions to Users</t>
  </si>
  <si>
    <t>Example Worksheet</t>
  </si>
  <si>
    <r>
      <t xml:space="preserve">2.  Enter tank design data into </t>
    </r>
    <r>
      <rPr>
        <i/>
        <sz val="10"/>
        <rFont val="Arial"/>
        <family val="2"/>
      </rPr>
      <t xml:space="preserve">Tank Summary </t>
    </r>
    <r>
      <rPr>
        <sz val="10"/>
        <rFont val="Arial"/>
        <family val="2"/>
      </rPr>
      <t>worksheet (up to nine tanks).</t>
    </r>
  </si>
  <si>
    <t>Data Collection Considerations</t>
  </si>
  <si>
    <t xml:space="preserve">     a.  Tank Volume (MG)</t>
  </si>
  <si>
    <t xml:space="preserve">     b.  Tank Shape (cylindrical, rectangular, hydropillar, or other)</t>
  </si>
  <si>
    <t xml:space="preserve">     c.  Tank Diameter (ft) or Sidewall Lengths (ft)</t>
  </si>
  <si>
    <t xml:space="preserve">     d.  Inlet/Outlet Diameter (ft)</t>
  </si>
  <si>
    <t>•  Tank turnover and mixing estimations are based on physical characteristics about each tank, which include:</t>
  </si>
  <si>
    <t>•  Tank level data should span approximately two weeks (or fifteen fill-and-draw cycles) and should be representative of typical distribution system operations (i.e., without line breaks or fires).</t>
  </si>
  <si>
    <t xml:space="preserve">     e.  Maximum Operating Depth (ft)</t>
  </si>
  <si>
    <t>-</t>
  </si>
  <si>
    <t xml:space="preserve">     f.   Inlet/Outlet Configuration (fill-and-draw or flow-through)</t>
  </si>
  <si>
    <t>Data Interpretations Considerations</t>
  </si>
  <si>
    <t>Min. Tank Level (ft)</t>
  </si>
  <si>
    <t>Min. Volume (gal)</t>
  </si>
  <si>
    <t>Max. Water Level
(ft)</t>
  </si>
  <si>
    <t>Min. Tank Level 
(ft)</t>
  </si>
  <si>
    <t>Max. Volume (gal)</t>
  </si>
  <si>
    <t>Tank Level
(ft)</t>
  </si>
  <si>
    <t>Volume
(gal)</t>
  </si>
  <si>
    <t>Tank Volume (100% Full) =</t>
  </si>
  <si>
    <t>Cylindrical Tank Example</t>
  </si>
  <si>
    <t>Tank Diameter =</t>
  </si>
  <si>
    <t xml:space="preserve">Maximum Tank Level = </t>
  </si>
  <si>
    <t>gal</t>
  </si>
  <si>
    <t>Tank diameter (D) =</t>
  </si>
  <si>
    <t>Maximum Water Level (H) =</t>
  </si>
  <si>
    <t>H/D (Maximum Water Level/Tank Diameter) =</t>
  </si>
  <si>
    <t>If…</t>
  </si>
  <si>
    <t>Then…</t>
  </si>
  <si>
    <t>*This relationship may not always be linear.  Must "best fit" trendline to data.</t>
  </si>
  <si>
    <r>
      <t>•  Pressure recorder data must be converted from pressure to depth before it can be entered into the spreadsheet (</t>
    </r>
    <r>
      <rPr>
        <i/>
        <sz val="10"/>
        <rFont val="Arial"/>
        <family val="2"/>
      </rPr>
      <t>see example below</t>
    </r>
    <r>
      <rPr>
        <sz val="10"/>
        <rFont val="Arial"/>
        <family val="2"/>
      </rPr>
      <t>).</t>
    </r>
  </si>
  <si>
    <t>*Pressure recorder elevation is unknown.</t>
  </si>
  <si>
    <t>Min. Pressure (psi)</t>
  </si>
  <si>
    <t>Max. Pressure (psi)</t>
  </si>
  <si>
    <t>Max. Tank Level (ft)</t>
  </si>
  <si>
    <r>
      <t xml:space="preserve">1.  Hydropillar tanks can be approximated as cylindrical tanks depending on their operating range.  See </t>
    </r>
    <r>
      <rPr>
        <i/>
        <sz val="10"/>
        <rFont val="Arial"/>
        <family val="2"/>
      </rPr>
      <t>Glossary</t>
    </r>
    <r>
      <rPr>
        <sz val="10"/>
        <rFont val="Arial"/>
        <family val="2"/>
      </rPr>
      <t xml:space="preserve"> worksheet for illustration.</t>
    </r>
  </si>
  <si>
    <t>Cylindrical:</t>
  </si>
  <si>
    <t>Hydropillar:</t>
  </si>
  <si>
    <t xml:space="preserve">Rectangular: </t>
  </si>
  <si>
    <r>
      <t xml:space="preserve">Operational Data (or Tank Level Data):  </t>
    </r>
    <r>
      <rPr>
        <sz val="10"/>
        <rFont val="Arial"/>
        <family val="2"/>
      </rPr>
      <t>Minimum and maximum tank cycle levels with corresponding date and time (e.g., SCADA, data logger).</t>
    </r>
  </si>
  <si>
    <r>
      <t xml:space="preserve">     a.  Interpret minimum and maximum tank levels with corresponding time and date from operational data (see </t>
    </r>
    <r>
      <rPr>
        <i/>
        <sz val="10"/>
        <rFont val="Arial"/>
        <family val="2"/>
      </rPr>
      <t xml:space="preserve">Data Considerations </t>
    </r>
    <r>
      <rPr>
        <sz val="10"/>
        <rFont val="Arial"/>
        <family val="2"/>
      </rPr>
      <t>Worksheet).</t>
    </r>
  </si>
  <si>
    <t>5.  Assess the impact of making operational strategies and/or design changes on the estimated average tank turnover and mixing estimations.</t>
  </si>
  <si>
    <r>
      <t xml:space="preserve">Operational Strategies:  </t>
    </r>
    <r>
      <rPr>
        <sz val="10"/>
        <rFont val="Arial"/>
        <family val="2"/>
      </rPr>
      <t>Adjusting minimum and/or maximum tank cycle levels or frequency to impact tank turnover time and/or mixing.</t>
    </r>
  </si>
  <si>
    <r>
      <t xml:space="preserve">Section I.  Physical Characteristics (See </t>
    </r>
    <r>
      <rPr>
        <b/>
        <i/>
        <sz val="10"/>
        <rFont val="Arial"/>
        <family val="2"/>
      </rPr>
      <t>Glossary</t>
    </r>
    <r>
      <rPr>
        <b/>
        <sz val="10"/>
        <rFont val="Arial"/>
        <family val="2"/>
      </rPr>
      <t xml:space="preserve"> worksheet for details)</t>
    </r>
  </si>
  <si>
    <t>Modifications</t>
  </si>
  <si>
    <t>LDD modified tank worksheets to simplify data entry requirements.  Provided space for up to 15 tank fill periods.</t>
  </si>
  <si>
    <t>MWS added guidelines</t>
  </si>
  <si>
    <t>MWS added Data Summary worksheet</t>
  </si>
  <si>
    <t>MWS added Summary, Prioritization, and Analysis worksheets.  Also revised Data Input worksheet's error in turnover time calculations.</t>
  </si>
  <si>
    <t>MWS added calculations for rectangular tanks. Made minor modifications to all sheets for increased functionality.</t>
  </si>
  <si>
    <t>MWS added tanks #2-#8.  Made minor modifications to other sheets.</t>
  </si>
  <si>
    <t>MWS changed H/D ratio to H/D&gt;1, not H/D&gt;=1.</t>
  </si>
  <si>
    <t>MWS fixed logic on applicability of turnover time and mixing equations of tank spreadsheet.</t>
  </si>
  <si>
    <t>MWS fixed calculations for fill and draw time.  Added "Helpful Hints" and "Glossary" worksheet.</t>
  </si>
  <si>
    <t xml:space="preserve">MWS modified the Step 2 analysis so that the fill rate could be modified by the user. </t>
  </si>
  <si>
    <t>Section I:   Data Input - Tank Turnover and Mixing Calculations</t>
  </si>
  <si>
    <t>Section II:   Turnover Time &amp; Mixing Analysis</t>
  </si>
  <si>
    <r>
      <t xml:space="preserve">2.  Enter the tank level data into </t>
    </r>
    <r>
      <rPr>
        <i/>
        <sz val="10"/>
        <rFont val="Arial"/>
        <family val="2"/>
      </rPr>
      <t>Section I</t>
    </r>
    <r>
      <rPr>
        <sz val="10"/>
        <rFont val="Arial"/>
        <family val="2"/>
      </rPr>
      <t xml:space="preserve"> of the </t>
    </r>
    <r>
      <rPr>
        <i/>
        <sz val="10"/>
        <rFont val="Arial"/>
        <family val="2"/>
      </rPr>
      <t>Tank</t>
    </r>
    <r>
      <rPr>
        <sz val="10"/>
        <rFont val="Arial"/>
        <family val="2"/>
      </rPr>
      <t xml:space="preserve"> worksheet(s).  </t>
    </r>
  </si>
  <si>
    <t>Storage Tank Assessment Spreadsheet Introduction</t>
  </si>
  <si>
    <r>
      <t xml:space="preserve">Section III:  Chlorine Residual Analysis </t>
    </r>
    <r>
      <rPr>
        <b/>
        <sz val="14"/>
        <color rgb="FFFF0000"/>
        <rFont val="Arial"/>
        <family val="2"/>
      </rPr>
      <t>(</t>
    </r>
    <r>
      <rPr>
        <b/>
        <i/>
        <sz val="14"/>
        <color rgb="FFFF0000"/>
        <rFont val="Arial"/>
        <family val="2"/>
      </rPr>
      <t>Free Chlorine Systems Only</t>
    </r>
    <r>
      <rPr>
        <b/>
        <sz val="14"/>
        <color rgb="FFFF0000"/>
        <rFont val="Arial"/>
        <family val="2"/>
      </rPr>
      <t>)</t>
    </r>
  </si>
  <si>
    <r>
      <t>MTA modified</t>
    </r>
    <r>
      <rPr>
        <i/>
        <sz val="10"/>
        <rFont val="Arial"/>
        <family val="2"/>
      </rPr>
      <t xml:space="preserve"> Introduction</t>
    </r>
    <r>
      <rPr>
        <sz val="10"/>
        <rFont val="Arial"/>
        <family val="2"/>
      </rPr>
      <t xml:space="preserve"> worksheet to include spreadsheet limitations in chloraminated water systems.</t>
    </r>
  </si>
  <si>
    <r>
      <t xml:space="preserve">•  The </t>
    </r>
    <r>
      <rPr>
        <i/>
        <sz val="10"/>
        <rFont val="Arial"/>
        <family val="2"/>
      </rPr>
      <t>Chlorine Residual Analysis</t>
    </r>
    <r>
      <rPr>
        <sz val="10"/>
        <rFont val="Arial"/>
        <family val="2"/>
      </rPr>
      <t xml:space="preserve"> section on the </t>
    </r>
    <r>
      <rPr>
        <i/>
        <sz val="10"/>
        <rFont val="Arial"/>
        <family val="2"/>
      </rPr>
      <t xml:space="preserve">Tank </t>
    </r>
    <r>
      <rPr>
        <sz val="10"/>
        <rFont val="Arial"/>
        <family val="2"/>
      </rPr>
      <t>worksheet(s) does not apply to chloraminated water systems.</t>
    </r>
  </si>
  <si>
    <r>
      <t xml:space="preserve">TEW clarified definition of "desired mixing" in </t>
    </r>
    <r>
      <rPr>
        <i/>
        <sz val="10"/>
        <rFont val="Arial"/>
        <family val="2"/>
      </rPr>
      <t>Glossary</t>
    </r>
    <r>
      <rPr>
        <sz val="10"/>
        <rFont val="Arial"/>
        <family val="2"/>
      </rPr>
      <t xml:space="preserve"> worksheet.</t>
    </r>
  </si>
  <si>
    <t xml:space="preserve">     •  Tanks that do not have a known volume change to depth relationship.</t>
  </si>
  <si>
    <t>Are the turnover time calculations applicable?</t>
  </si>
  <si>
    <t>Are the mixing equations applicable?</t>
  </si>
  <si>
    <r>
      <t xml:space="preserve">Are tank mixing equations applicable based on the </t>
    </r>
    <r>
      <rPr>
        <i/>
        <sz val="10"/>
        <rFont val="Arial"/>
        <family val="2"/>
      </rPr>
      <t>Introduction</t>
    </r>
    <r>
      <rPr>
        <sz val="10"/>
        <rFont val="Arial"/>
        <family val="2"/>
      </rPr>
      <t xml:space="preserve"> worksheet (y/n)?</t>
    </r>
  </si>
  <si>
    <t>Is tank level data in volume (y/n)?</t>
  </si>
  <si>
    <t>Tank diameter (if cylindrical/hydropillar) or longest sidewall length (if rectangular)(ft)</t>
  </si>
  <si>
    <t>Inlet Diameter (ft)</t>
  </si>
  <si>
    <t>Maximum Operating Water Depth (ft)</t>
  </si>
  <si>
    <r>
      <t>Is the tank operated fill-draw (fd) or flow-through</t>
    </r>
    <r>
      <rPr>
        <vertAlign val="superscript"/>
        <sz val="10"/>
        <rFont val="Arial"/>
        <family val="2"/>
      </rPr>
      <t>2</t>
    </r>
    <r>
      <rPr>
        <sz val="10"/>
        <rFont val="Arial"/>
        <family val="2"/>
      </rPr>
      <t xml:space="preserve"> (ft)?</t>
    </r>
  </si>
  <si>
    <t>Shortest sidewall length (If rectangular) (ft)</t>
  </si>
  <si>
    <r>
      <t xml:space="preserve">3.  If the estimated turnover time and/or mixing is poor, </t>
    </r>
    <r>
      <rPr>
        <i/>
        <sz val="10"/>
        <rFont val="Arial"/>
        <family val="2"/>
      </rPr>
      <t>Section II</t>
    </r>
    <r>
      <rPr>
        <sz val="10"/>
        <rFont val="Arial"/>
        <family val="2"/>
      </rPr>
      <t xml:space="preserve"> of the </t>
    </r>
    <r>
      <rPr>
        <i/>
        <sz val="10"/>
        <rFont val="Arial"/>
        <family val="2"/>
      </rPr>
      <t>Tank</t>
    </r>
    <r>
      <rPr>
        <sz val="10"/>
        <rFont val="Arial"/>
        <family val="2"/>
      </rPr>
      <t xml:space="preserve"> worksheet will evaluate potential operational strategies and/or design strategies to improve tank performance.  </t>
    </r>
  </si>
  <si>
    <r>
      <t xml:space="preserve">Instructions:  Enter tank fill data (paired min/max levels with date and time) for up to 15 fill periods.  </t>
    </r>
    <r>
      <rPr>
        <b/>
        <sz val="10"/>
        <color rgb="FFC00000"/>
        <rFont val="Arial"/>
        <family val="2"/>
      </rPr>
      <t>Data inputted by the user are shown in red.</t>
    </r>
  </si>
  <si>
    <r>
      <t xml:space="preserve">only the Min level, and only the Max level.  </t>
    </r>
    <r>
      <rPr>
        <b/>
        <sz val="10"/>
        <color rgb="FFC00000"/>
        <rFont val="Arial"/>
        <family val="2"/>
      </rPr>
      <t>Modify data shown in red.</t>
    </r>
    <r>
      <rPr>
        <b/>
        <sz val="10"/>
        <color indexed="10"/>
        <rFont val="Arial"/>
        <family val="2"/>
      </rPr>
      <t xml:space="preserve">  </t>
    </r>
    <r>
      <rPr>
        <b/>
        <sz val="10"/>
        <color indexed="48"/>
        <rFont val="Arial"/>
        <family val="2"/>
      </rPr>
      <t>Do not use this analysis if the turnover time equations are not applicable!</t>
    </r>
  </si>
  <si>
    <r>
      <t xml:space="preserve">Grayman, W.M., Rossman, L.A., Deininger, R.A., Smith, C.A., Arnold, C.N., Smith, J.F., and Schnipke, R. (2000). </t>
    </r>
    <r>
      <rPr>
        <i/>
        <sz val="10"/>
        <rFont val="Arial"/>
        <family val="2"/>
      </rPr>
      <t>Water Quality Modeling of Distribution System Storage Facilities</t>
    </r>
    <r>
      <rPr>
        <sz val="10"/>
        <rFont val="Arial"/>
        <family val="2"/>
      </rPr>
      <t>,</t>
    </r>
  </si>
  <si>
    <t xml:space="preserve"> Denver, CO: American Water Works Research Foundation.</t>
  </si>
  <si>
    <t>Grayman, W.M., Rossman, L.A., Deininger, R.A., Smith, C.A., Arnold, C.N., and Smith, J.F. (September 2004).  Mixing and Aging of Water in Distribution System Storage</t>
  </si>
  <si>
    <t xml:space="preserve"> Facilities, Journal AWWA.</t>
  </si>
  <si>
    <t>•  The purpose of this spreadsheet is to summarize storage tank characteristics, estimate average tank turnover time and mixing, and evaluate potential operational strategies</t>
  </si>
  <si>
    <t xml:space="preserve"> that may improve turnover time and mixing.  </t>
  </si>
  <si>
    <t xml:space="preserve">•  If operational changes are pursued, they should be made incrementally and supported with water quality data to ensure that any adverse effects to hydraulics and </t>
  </si>
  <si>
    <t>water quality are minimized.</t>
  </si>
  <si>
    <t>MWS modified the Tank Summary to alert users to turnover times over 5 days (versus 4 days, previously).  This is more in line with the operations goal of turnover time being</t>
  </si>
  <si>
    <r>
      <t xml:space="preserve">MTA modified </t>
    </r>
    <r>
      <rPr>
        <i/>
        <sz val="10"/>
        <rFont val="Arial"/>
        <family val="2"/>
      </rPr>
      <t>Introduction</t>
    </r>
    <r>
      <rPr>
        <sz val="10"/>
        <rFont val="Arial"/>
        <family val="2"/>
      </rPr>
      <t xml:space="preserve"> worksheet (formerly </t>
    </r>
    <r>
      <rPr>
        <i/>
        <sz val="10"/>
        <rFont val="Arial"/>
        <family val="2"/>
      </rPr>
      <t xml:space="preserve">Instructions </t>
    </r>
    <r>
      <rPr>
        <sz val="10"/>
        <rFont val="Arial"/>
        <family val="2"/>
      </rPr>
      <t xml:space="preserve">worksheet) to include </t>
    </r>
    <r>
      <rPr>
        <i/>
        <sz val="10"/>
        <rFont val="Arial"/>
        <family val="2"/>
      </rPr>
      <t xml:space="preserve">Overview </t>
    </r>
    <r>
      <rPr>
        <sz val="10"/>
        <rFont val="Arial"/>
        <family val="2"/>
      </rPr>
      <t xml:space="preserve">section and </t>
    </r>
    <r>
      <rPr>
        <i/>
        <sz val="10"/>
        <rFont val="Arial"/>
        <family val="2"/>
      </rPr>
      <t>Applications and Limitations</t>
    </r>
    <r>
      <rPr>
        <sz val="10"/>
        <rFont val="Arial"/>
        <family val="2"/>
      </rPr>
      <t xml:space="preserve"> section (formerly </t>
    </r>
    <r>
      <rPr>
        <i/>
        <sz val="10"/>
        <rFont val="Arial"/>
        <family val="2"/>
      </rPr>
      <t>Guidelines</t>
    </r>
    <r>
      <rPr>
        <sz val="10"/>
        <rFont val="Arial"/>
        <family val="2"/>
      </rPr>
      <t xml:space="preserve"> section). </t>
    </r>
  </si>
  <si>
    <t xml:space="preserve">Minor modifications were made throughout the Tank Summary and Tank worksheets, so that terminology is consistent throughout the spreadsheet and with other </t>
  </si>
  <si>
    <t>distribution system optimization documentation.  Modified Data Considerations worksheet (formerly Hints worksheet) to include content from TankGuideline_v4a.doc.</t>
  </si>
  <si>
    <t>MWS modified the Step 2: turnover time and mixing analysis.  Added Step 3: Chlorine Residual Analysis and made modifications to mixing calcs to include standpipes</t>
  </si>
  <si>
    <t>(H/D ratios greater than 1).</t>
  </si>
  <si>
    <t>less than 3-5 days.</t>
  </si>
  <si>
    <t xml:space="preserve">2.  In flow-through operation water is simultaneously coming into the tank and leaving the tank.   In fill-draw operation water can either be filling the tank or drawing </t>
  </si>
  <si>
    <t xml:space="preserve">     from the tank at anytime (this is most common). </t>
  </si>
  <si>
    <t>Is the tank Cylindrical (C), Rectangular (R), Hydropillar (H), or None of these (n)?</t>
  </si>
  <si>
    <r>
      <t xml:space="preserve">1.  Enter tank design data for each tank into </t>
    </r>
    <r>
      <rPr>
        <i/>
        <sz val="10"/>
        <rFont val="Arial"/>
        <family val="2"/>
      </rPr>
      <t xml:space="preserve">Section I </t>
    </r>
    <r>
      <rPr>
        <sz val="10"/>
        <rFont val="Arial"/>
        <family val="2"/>
      </rPr>
      <t xml:space="preserve">of the </t>
    </r>
    <r>
      <rPr>
        <i/>
        <sz val="10"/>
        <rFont val="Arial"/>
        <family val="2"/>
      </rPr>
      <t>Tank Summary</t>
    </r>
    <r>
      <rPr>
        <sz val="10"/>
        <rFont val="Arial"/>
        <family val="2"/>
      </rPr>
      <t xml:space="preserve"> worksheet</t>
    </r>
    <r>
      <rPr>
        <i/>
        <sz val="10"/>
        <rFont val="Arial"/>
        <family val="2"/>
      </rPr>
      <t xml:space="preserve"> </t>
    </r>
    <r>
      <rPr>
        <sz val="10"/>
        <rFont val="Arial"/>
        <family val="2"/>
      </rPr>
      <t>(</t>
    </r>
    <r>
      <rPr>
        <sz val="10"/>
        <color rgb="FFC00000"/>
        <rFont val="Arial"/>
        <family val="2"/>
      </rPr>
      <t>user input is shown in red</t>
    </r>
    <r>
      <rPr>
        <sz val="10"/>
        <rFont val="Arial"/>
        <family val="2"/>
      </rPr>
      <t xml:space="preserve">).  </t>
    </r>
  </si>
  <si>
    <t xml:space="preserve">    Section II of the Tank Summary worksheet will be populated after data is entered into Section I and the respective Tank worksheet.  </t>
  </si>
  <si>
    <t xml:space="preserve">2. The user should assume that when the tank is well mixed (mixing PR &gt;= 1) the minimum concentration leaving the tank is close to the completely mixed result.  If the tank is poorly mixed (mixing PR &lt; 1) the user should be cautious about </t>
  </si>
  <si>
    <t xml:space="preserve">about using the plug flow result to determine the minimum concentration leaving the tank.  Tanks can operate in many different and unpredictable ways.  If the tank is not baffled (like a clearwell) or specifically designed to be plug flow, </t>
  </si>
  <si>
    <t xml:space="preserve">then the tank operation is probably not plug flow.  In most cases, if the tank is not well mixed (mixing PR &lt; 1) there may be some areas of the tank volume that are mixed (e.g., close to the inlet zone) and other areas (i.e., dead-zones) that </t>
  </si>
  <si>
    <t>are unmixed and probably have an undetectable chlorine residual.  If this is the case, neither the plug flow nor completely mixed result for minimum concentration leaving the tank is applicable.</t>
  </si>
  <si>
    <t xml:space="preserve">Dimension-less </t>
  </si>
  <si>
    <t>Mixing Time</t>
  </si>
  <si>
    <t xml:space="preserve">  1.  Determine the Approximate Pressure to Tank Level Relationship*</t>
  </si>
  <si>
    <t xml:space="preserve">  1.  Determine the Maximum Volume (100% Full) and Tank Level</t>
  </si>
  <si>
    <t xml:space="preserve">  2.  Convert Percent Full to Tank level (ft) and Volume (gal)</t>
  </si>
  <si>
    <t xml:space="preserve">  2.  Convert Pressure to Tank Level Using the Relationship</t>
  </si>
  <si>
    <t xml:space="preserve">  3.  Verify H/D Ratio &lt; 1.0 (i.e., Is mixing equation is applicable?)</t>
  </si>
  <si>
    <t xml:space="preserve">  1.  Determine Tank Level vs. Volume Relationship*</t>
  </si>
  <si>
    <t xml:space="preserve">  2.  Convert Tank Level to Volume Using the Relationship</t>
  </si>
  <si>
    <t xml:space="preserve">•  Data collection time can vary significantly from system to system, depending on the number of tanks in the system, the accessiblity of physical characteristics of each tank </t>
  </si>
  <si>
    <t>(e.g., tank drawings), and the ease of aquiring tank level data (e.g., SCADA, pressure recorders).</t>
  </si>
  <si>
    <r>
      <t>•  Tank levels reported in percent full may be converted to volume or depth so that tank turnover can be estimated (</t>
    </r>
    <r>
      <rPr>
        <i/>
        <sz val="10"/>
        <rFont val="Arial"/>
        <family val="2"/>
      </rPr>
      <t>see example below)</t>
    </r>
    <r>
      <rPr>
        <sz val="10"/>
        <rFont val="Arial"/>
        <family val="2"/>
      </rPr>
      <t>.  If the tank is rectangular or cylindrical shaped</t>
    </r>
  </si>
  <si>
    <t xml:space="preserve">    the volume to depth relationship is linear and the percent full values can be easily converted to tank level or volume.  If the tank is irregular shaped the volume to depth relationship</t>
  </si>
  <si>
    <t xml:space="preserve">    is not linear and the percent full values must be determined (as described above), then converted to tank level or volume (as shown below).</t>
  </si>
  <si>
    <t xml:space="preserve">•  Interpretation of minimum and maximum tank levels with corresponding date and time from operational data can be challenging.  Individual's interpretation of tank level may vary, </t>
  </si>
  <si>
    <t xml:space="preserve">   which can result in a wide range of results.  As a result, it is critical to accurately and consistently interpret tank level data for use in the tank spreadsheet.  </t>
  </si>
  <si>
    <t xml:space="preserve">   The following examples are provided to assisst with tank level data interpretation:     </t>
  </si>
  <si>
    <r>
      <t xml:space="preserve">Example A </t>
    </r>
    <r>
      <rPr>
        <sz val="10"/>
        <rFont val="Arial"/>
        <family val="2"/>
      </rPr>
      <t xml:space="preserve">- Minimum and maximum operational setpoints are consistent and clearly defined.  </t>
    </r>
  </si>
  <si>
    <t>Minor variations in tank level data are typical.  In general, these variations (&lt; 1-1.5 ft) can be</t>
  </si>
  <si>
    <t xml:space="preserve">ignored, but consistent approach of interpreting this data is critical.  </t>
  </si>
  <si>
    <r>
      <rPr>
        <b/>
        <sz val="10"/>
        <rFont val="Arial"/>
        <family val="2"/>
      </rPr>
      <t>Example B</t>
    </r>
    <r>
      <rPr>
        <sz val="10"/>
        <rFont val="Arial"/>
        <family val="2"/>
      </rPr>
      <t xml:space="preserve"> - Minimum and maximum operational setpoints are inconsistent and </t>
    </r>
  </si>
  <si>
    <t xml:space="preserve">not as clearly defined.  Tank level changes greater than one foot were identified. </t>
  </si>
  <si>
    <r>
      <rPr>
        <b/>
        <sz val="10"/>
        <rFont val="Arial"/>
        <family val="2"/>
      </rPr>
      <t xml:space="preserve">Example C </t>
    </r>
    <r>
      <rPr>
        <sz val="10"/>
        <rFont val="Arial"/>
        <family val="2"/>
      </rPr>
      <t xml:space="preserve">- Minimum and maximum operational setpoints are erratic and not clearly defined.  </t>
    </r>
  </si>
  <si>
    <t xml:space="preserve">Tank level changes greater than one and a half feet were identified.   </t>
  </si>
  <si>
    <t xml:space="preserve">Generalizations were made in cases where tank level data was highly erratic, </t>
  </si>
  <si>
    <t>yet a consistent approach to data interpretation was taken.</t>
  </si>
  <si>
    <t xml:space="preserve">•  Tank turnover estimations may be performed on irregular shaped tanks (e.g., elliptical, spherical) if tank level data is in terms of volume (or percent full), but mixing performance </t>
  </si>
  <si>
    <t>estimations do not apply (see example below).</t>
  </si>
  <si>
    <t>•  Tank turnover and mixing estimations are based on tank level data over a period of time (e.g., 5 days, 2 weeks).  As a result, the water system must have records (e.g., SCADA,</t>
  </si>
  <si>
    <t xml:space="preserve"> telemetry) that captures tank level (depth or volume), time, and date to estimate average tank turnover.</t>
  </si>
  <si>
    <t xml:space="preserve">•  Tank level data is often reported as an elevation or water depth within the tank.  Tank turnover and mixing performance estimations require tank level data (volume or depth) relative to </t>
  </si>
  <si>
    <t>the bottom of the tank (i.e., minimum operating depth).</t>
  </si>
  <si>
    <t xml:space="preserve">•  Tank operations may vary based on seasonal changes in water demands or temperatures.  It is recommended to estimate turnover time and mixing performance in both periods of high </t>
  </si>
  <si>
    <t>and low, as well as high and low water temperatures.</t>
  </si>
  <si>
    <r>
      <t xml:space="preserve">Water Quality Data:  </t>
    </r>
    <r>
      <rPr>
        <sz val="10"/>
        <rFont val="Arial"/>
        <family val="2"/>
      </rPr>
      <t xml:space="preserve">Continuous or grab sample data that is collected to assess storage tank performance.  Common parameters used to assess storage tank performance are </t>
    </r>
  </si>
  <si>
    <t xml:space="preserve">free chlorine, temperature, pH, and disinfection by-products.  Grab samples may be collected from in the tank, from the inlet/outlet, or in the distribution system.  Water quality data </t>
  </si>
  <si>
    <t>is considered to be the best indicator of storage tank performance.</t>
  </si>
  <si>
    <t xml:space="preserve">Rossman &amp; Grayman 1999 (see References section in "Introduction" worksheet). The operational guideline for storage tank operation suggests that the mixing performance ratio is </t>
  </si>
  <si>
    <t>greater than or equal to 1.0 at all storage tanks.</t>
  </si>
  <si>
    <t xml:space="preserve">mixing needed to achieve 95% uniformity throughout the tank, the equation for which was determined empirically based on tracer studies conducted on scale-model tanks by </t>
  </si>
  <si>
    <r>
      <rPr>
        <b/>
        <sz val="10"/>
        <color theme="1"/>
        <rFont val="Arial"/>
        <family val="2"/>
      </rPr>
      <t>Mixing Performance Ratio (PR):</t>
    </r>
    <r>
      <rPr>
        <sz val="10"/>
        <color theme="1"/>
        <rFont val="Arial"/>
        <family val="2"/>
      </rPr>
      <t xml:space="preserve">  A ratio used to describe estimated mixing performance, which is the ratio of actual mixing versus desired mixing.  "Desired mixing" is the level of </t>
    </r>
  </si>
  <si>
    <r>
      <t>Physical Characteristics:</t>
    </r>
    <r>
      <rPr>
        <sz val="10"/>
        <rFont val="Arial"/>
        <family val="2"/>
      </rPr>
      <t xml:space="preserve">  physical parameters used to describe storage tanks, which include size (e.g., diameter, height, volume), shape (e.g., cylindrical, rectangular, etc.), </t>
    </r>
  </si>
  <si>
    <t>elevation (e.g., underground, ground, elevated), inlet/outlet description (e.g., configuration (common or "flow-through"), diameter, location), and other (e.g., baffling, pillars,</t>
  </si>
  <si>
    <t xml:space="preserve"> static/dynamic mixers).  </t>
  </si>
  <si>
    <r>
      <rPr>
        <b/>
        <sz val="10"/>
        <rFont val="Arial"/>
        <family val="2"/>
      </rPr>
      <t>Tank Turnover Time (or Water Age):</t>
    </r>
    <r>
      <rPr>
        <sz val="10"/>
        <rFont val="Arial"/>
        <family val="2"/>
      </rPr>
      <t xml:space="preserve">  Average length of time that water resides in a storage tank.  The operational guideline for storage tank operation suggests that tank turnover time is </t>
    </r>
  </si>
  <si>
    <t xml:space="preserve">less than 3-5 days at all storage tanks, but tanks should be evaluated individually and given their own goal.  </t>
  </si>
  <si>
    <r>
      <t xml:space="preserve">Design Changes:  </t>
    </r>
    <r>
      <rPr>
        <sz val="10"/>
        <rFont val="Arial"/>
        <family val="2"/>
      </rPr>
      <t xml:space="preserve">Installation of engineered mixing systems or modifying inlet/outlet diameter to impact mixing performance or reducing distribution system volume (e.g., reduce line </t>
    </r>
  </si>
  <si>
    <t>size or remove tanks from service) to impact tank turnover time.</t>
  </si>
  <si>
    <t xml:space="preserve">This analysis assumes that the fill (pump) rate and the draw rate (demand) on the tank doesn't change. </t>
  </si>
  <si>
    <t>Example</t>
  </si>
  <si>
    <t>n</t>
  </si>
  <si>
    <t>y</t>
  </si>
  <si>
    <t>fd</t>
  </si>
  <si>
    <t>Level to plot</t>
  </si>
  <si>
    <t>Draw Rate/ Consumer Demand</t>
  </si>
  <si>
    <t>Fill Rate/ Pumping Rate</t>
  </si>
  <si>
    <t>Avg Volume Added During Fill</t>
  </si>
  <si>
    <t>Avg Flow Rate</t>
  </si>
  <si>
    <t>AGD made multiple edits for clarity and to improve accessibility.</t>
  </si>
  <si>
    <t>MWS added calculations for spheroid and hydropillar tanks.  Deleted Prioritization Analysis.  Added glossary.</t>
  </si>
  <si>
    <t xml:space="preserve">TEW fixed calculation of dimensionless mixing time for tanks with H/D &gt; 1 and removed language limiting mixing equations to tanks with H/D &lt;= 1. </t>
  </si>
  <si>
    <t>Spreadsheet now accurately assesses mixing for tanks with H/D &gt;1.</t>
  </si>
  <si>
    <r>
      <t xml:space="preserve">Modify data shown in red.  </t>
    </r>
    <r>
      <rPr>
        <b/>
        <sz val="10"/>
        <color rgb="FF3366FF"/>
        <rFont val="Arial"/>
        <family val="2"/>
      </rPr>
      <t>Do not use this analysis if the mixing equations are not applicable.</t>
    </r>
  </si>
  <si>
    <t>r</t>
  </si>
  <si>
    <t>Tank #4 Worksheet</t>
  </si>
  <si>
    <t>Tank #3 Worksheet</t>
  </si>
  <si>
    <t>Tank #2 Worksheet</t>
  </si>
  <si>
    <t>Tank #1 Worksheet</t>
  </si>
  <si>
    <t>Tank #5 Worksheet</t>
  </si>
  <si>
    <t>Tank #8  Worksheet</t>
  </si>
  <si>
    <r>
      <rPr>
        <b/>
        <sz val="10"/>
        <rFont val="Arial"/>
        <family val="2"/>
      </rPr>
      <t>Tank Mixing:</t>
    </r>
    <r>
      <rPr>
        <sz val="10"/>
        <rFont val="Arial"/>
        <family val="2"/>
      </rPr>
      <t xml:space="preserve">  A function of the momentum of the inlet flow during a fill cycle.</t>
    </r>
    <r>
      <rPr>
        <sz val="10"/>
        <rFont val="Arial"/>
        <family val="2"/>
      </rPr>
      <t xml:space="preserve"> See Rossman &amp; Grayman, 1999 (for tanks with H/D &lt;=1) and Roberts et al. 2006 (for H/D &gt;1) </t>
    </r>
  </si>
  <si>
    <t>for applicable equations used in this spreadsheet.</t>
  </si>
  <si>
    <t>Maximum water depth, H:</t>
  </si>
  <si>
    <t>H/D ratio</t>
  </si>
  <si>
    <t>TEW amended limitations of spreadsheet to exclude mixing calculations for tanks with non-linear depth-to-volume relationship.</t>
  </si>
  <si>
    <t xml:space="preserve">     •  Tanks where volume does not change uniformly with respect to depth (e.g., elliptical, spherical).</t>
  </si>
  <si>
    <t>TEW modified mixing performance equations to fix errors from previous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</si>
</sst>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0000"/>
    <numFmt numFmtId="165" formatCode="0.000"/>
    <numFmt numFmtId="166" formatCode="0.0"/>
    <numFmt numFmtId="167" formatCode="mm/dd/yy"/>
    <numFmt numFmtId="168" formatCode="m/d/yy\ h:mm"/>
    <numFmt numFmtId="169" formatCode="[$-409]h:mm\ AM/PM;@"/>
    <numFmt numFmtId="170" formatCode="mm/dd/yy;@"/>
    <numFmt numFmtId="171" formatCode="_(* #,##0_);_(* \(#,##0\);_(* &quot;-&quot;??_);_(@_)"/>
    <numFmt numFmtId="172" formatCode="m/d/yy;@"/>
  </numFmts>
  <fonts count="33" x14ac:knownFonts="1">
    <font>
      <sz val="10"/>
      <name val="Arial"/>
    </font>
    <font>
      <sz val="10"/>
      <name val="Arial"/>
      <family val="2"/>
    </font>
    <font>
      <sz val="10"/>
      <name val="Arial"/>
      <family val="2"/>
    </font>
    <font>
      <b/>
      <sz val="10"/>
      <name val="Arial"/>
      <family val="2"/>
    </font>
    <font>
      <b/>
      <sz val="8"/>
      <color indexed="81"/>
      <name val="Tahoma"/>
      <family val="2"/>
    </font>
    <font>
      <sz val="14"/>
      <name val="Arial"/>
      <family val="2"/>
    </font>
    <font>
      <sz val="12"/>
      <name val="Arial"/>
      <family val="2"/>
    </font>
    <font>
      <b/>
      <sz val="12"/>
      <name val="Arial"/>
      <family val="2"/>
    </font>
    <font>
      <b/>
      <sz val="10"/>
      <color indexed="10"/>
      <name val="Arial"/>
      <family val="2"/>
    </font>
    <font>
      <b/>
      <u/>
      <sz val="12"/>
      <name val="Arial"/>
      <family val="2"/>
    </font>
    <font>
      <b/>
      <sz val="10"/>
      <color indexed="48"/>
      <name val="Arial"/>
      <family val="2"/>
    </font>
    <font>
      <vertAlign val="superscript"/>
      <sz val="10"/>
      <name val="Arial"/>
      <family val="2"/>
    </font>
    <font>
      <b/>
      <sz val="14"/>
      <name val="Arial"/>
      <family val="2"/>
    </font>
    <font>
      <b/>
      <sz val="16"/>
      <name val="Arial"/>
      <family val="2"/>
    </font>
    <font>
      <b/>
      <sz val="12"/>
      <color indexed="12"/>
      <name val="Arial"/>
      <family val="2"/>
    </font>
    <font>
      <u/>
      <sz val="10"/>
      <name val="Arial"/>
      <family val="2"/>
    </font>
    <font>
      <sz val="8"/>
      <name val="Arial"/>
      <family val="2"/>
    </font>
    <font>
      <i/>
      <sz val="10"/>
      <name val="Arial"/>
      <family val="2"/>
    </font>
    <font>
      <b/>
      <vertAlign val="superscript"/>
      <sz val="10"/>
      <name val="Arial"/>
      <family val="2"/>
    </font>
    <font>
      <b/>
      <u/>
      <sz val="10"/>
      <name val="Arial"/>
      <family val="2"/>
    </font>
    <font>
      <b/>
      <sz val="10"/>
      <color rgb="FFFF0000"/>
      <name val="Arial"/>
      <family val="2"/>
    </font>
    <font>
      <sz val="10"/>
      <color rgb="FFFF0000"/>
      <name val="Arial"/>
      <family val="2"/>
    </font>
    <font>
      <b/>
      <i/>
      <sz val="10"/>
      <name val="Arial"/>
      <family val="2"/>
    </font>
    <font>
      <b/>
      <sz val="8"/>
      <name val="Arial"/>
      <family val="2"/>
    </font>
    <font>
      <b/>
      <sz val="14"/>
      <color rgb="FFFF0000"/>
      <name val="Arial"/>
      <family val="2"/>
    </font>
    <font>
      <b/>
      <i/>
      <sz val="14"/>
      <color rgb="FFFF0000"/>
      <name val="Arial"/>
      <family val="2"/>
    </font>
    <font>
      <sz val="10"/>
      <color theme="1"/>
      <name val="Arial"/>
      <family val="2"/>
    </font>
    <font>
      <b/>
      <sz val="10"/>
      <color theme="1"/>
      <name val="Arial"/>
      <family val="2"/>
    </font>
    <font>
      <b/>
      <sz val="10"/>
      <color rgb="FFC00000"/>
      <name val="Arial"/>
      <family val="2"/>
    </font>
    <font>
      <b/>
      <sz val="10"/>
      <color rgb="FF3366FF"/>
      <name val="Arial"/>
      <family val="2"/>
    </font>
    <font>
      <sz val="10"/>
      <color rgb="FFC00000"/>
      <name val="Arial"/>
      <family val="2"/>
    </font>
    <font>
      <sz val="10"/>
      <color theme="0"/>
      <name val="Arial"/>
      <family val="2"/>
    </font>
    <font>
      <b/>
      <sz val="10"/>
      <color theme="0"/>
      <name val="Arial"/>
      <family val="2"/>
    </font>
  </fonts>
  <fills count="10">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7999816888943144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diagonal/>
    </border>
    <border>
      <left style="thin">
        <color indexed="64"/>
      </left>
      <right style="medium">
        <color indexed="64"/>
      </right>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09">
    <xf numFmtId="0" fontId="0" fillId="0" borderId="0" xfId="0"/>
    <xf numFmtId="0" fontId="0" fillId="0" borderId="0" xfId="0" applyAlignment="1">
      <alignment horizontal="left"/>
    </xf>
    <xf numFmtId="2" fontId="0" fillId="0" borderId="1" xfId="0" applyNumberFormat="1" applyBorder="1" applyAlignment="1">
      <alignment horizontal="left"/>
    </xf>
    <xf numFmtId="0" fontId="0" fillId="0" borderId="2" xfId="0" applyBorder="1" applyAlignment="1">
      <alignment horizontal="left"/>
    </xf>
    <xf numFmtId="0" fontId="3" fillId="0" borderId="3" xfId="0" applyFont="1" applyBorder="1" applyAlignment="1">
      <alignment horizontal="left"/>
    </xf>
    <xf numFmtId="0" fontId="0" fillId="0" borderId="4" xfId="0" applyBorder="1" applyAlignment="1">
      <alignment horizontal="left"/>
    </xf>
    <xf numFmtId="0" fontId="3" fillId="0" borderId="2" xfId="0" applyFont="1" applyBorder="1" applyAlignment="1">
      <alignment horizontal="left"/>
    </xf>
    <xf numFmtId="0" fontId="3" fillId="0" borderId="5" xfId="0" applyFont="1" applyBorder="1" applyAlignment="1">
      <alignment horizontal="left"/>
    </xf>
    <xf numFmtId="0" fontId="0" fillId="0" borderId="0" xfId="0" applyBorder="1" applyAlignment="1">
      <alignment horizontal="left"/>
    </xf>
    <xf numFmtId="0" fontId="0" fillId="2" borderId="7" xfId="0" applyFill="1" applyBorder="1"/>
    <xf numFmtId="0" fontId="2" fillId="0" borderId="0" xfId="0" applyFont="1" applyFill="1" applyBorder="1"/>
    <xf numFmtId="2" fontId="0" fillId="0" borderId="1" xfId="0" applyNumberFormat="1" applyBorder="1" applyAlignment="1">
      <alignment horizontal="center"/>
    </xf>
    <xf numFmtId="166" fontId="0" fillId="0" borderId="1" xfId="0" applyNumberForma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2" fillId="0" borderId="11" xfId="0" applyFont="1" applyBorder="1" applyAlignment="1">
      <alignment horizontal="left"/>
    </xf>
    <xf numFmtId="0" fontId="2" fillId="0" borderId="4" xfId="0" applyFont="1" applyBorder="1" applyAlignment="1">
      <alignment horizontal="left"/>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left"/>
    </xf>
    <xf numFmtId="2" fontId="8" fillId="0" borderId="0" xfId="0" applyNumberFormat="1" applyFont="1" applyBorder="1" applyAlignment="1">
      <alignment horizontal="right"/>
    </xf>
    <xf numFmtId="2" fontId="0" fillId="0" borderId="0" xfId="0" applyNumberFormat="1" applyFill="1" applyBorder="1" applyAlignment="1">
      <alignment horizontal="left"/>
    </xf>
    <xf numFmtId="2" fontId="0" fillId="0" borderId="0" xfId="0" applyNumberFormat="1" applyBorder="1" applyAlignment="1">
      <alignment horizontal="left"/>
    </xf>
    <xf numFmtId="0" fontId="0" fillId="0" borderId="0" xfId="0" applyFill="1" applyBorder="1"/>
    <xf numFmtId="0" fontId="0" fillId="0" borderId="0" xfId="0" applyBorder="1"/>
    <xf numFmtId="0" fontId="0" fillId="2" borderId="0" xfId="0" applyFill="1" applyBorder="1"/>
    <xf numFmtId="0" fontId="0" fillId="0" borderId="1" xfId="0" applyBorder="1" applyAlignment="1">
      <alignment horizontal="center"/>
    </xf>
    <xf numFmtId="2" fontId="0" fillId="0" borderId="1" xfId="0" applyNumberFormat="1" applyFill="1" applyBorder="1" applyAlignment="1">
      <alignment horizontal="center"/>
    </xf>
    <xf numFmtId="1" fontId="0" fillId="0" borderId="1" xfId="0" applyNumberFormat="1" applyBorder="1" applyAlignment="1">
      <alignment horizontal="center"/>
    </xf>
    <xf numFmtId="1" fontId="2" fillId="0" borderId="1" xfId="0" applyNumberFormat="1" applyFont="1" applyBorder="1" applyAlignment="1">
      <alignment horizontal="left"/>
    </xf>
    <xf numFmtId="166" fontId="2" fillId="0" borderId="25" xfId="0" applyNumberFormat="1" applyFont="1" applyBorder="1" applyAlignment="1">
      <alignment horizontal="left"/>
    </xf>
    <xf numFmtId="2" fontId="2" fillId="0" borderId="26" xfId="0" applyNumberFormat="1" applyFont="1" applyBorder="1" applyAlignment="1">
      <alignment horizontal="left"/>
    </xf>
    <xf numFmtId="0" fontId="3" fillId="0" borderId="26" xfId="0" applyFont="1" applyBorder="1" applyAlignment="1">
      <alignment horizontal="right"/>
    </xf>
    <xf numFmtId="0" fontId="3" fillId="0" borderId="25" xfId="0" applyFont="1" applyBorder="1" applyAlignment="1">
      <alignment horizontal="right"/>
    </xf>
    <xf numFmtId="0" fontId="3" fillId="0" borderId="27" xfId="0" applyFont="1" applyBorder="1" applyAlignment="1">
      <alignment horizontal="left"/>
    </xf>
    <xf numFmtId="0" fontId="0" fillId="0" borderId="28" xfId="0" applyBorder="1" applyAlignment="1">
      <alignment horizontal="left"/>
    </xf>
    <xf numFmtId="2" fontId="2" fillId="0" borderId="4" xfId="0" applyNumberFormat="1" applyFont="1" applyBorder="1"/>
    <xf numFmtId="0" fontId="3" fillId="0" borderId="29" xfId="0" applyFont="1" applyBorder="1" applyAlignment="1">
      <alignment horizontal="left"/>
    </xf>
    <xf numFmtId="0" fontId="2" fillId="0" borderId="30" xfId="0" applyFont="1" applyBorder="1" applyAlignment="1">
      <alignment horizontal="left"/>
    </xf>
    <xf numFmtId="1" fontId="0" fillId="0" borderId="31" xfId="0" applyNumberFormat="1" applyBorder="1" applyAlignment="1">
      <alignment horizontal="left"/>
    </xf>
    <xf numFmtId="166" fontId="2" fillId="0" borderId="32" xfId="0" applyNumberFormat="1" applyFont="1" applyBorder="1" applyAlignment="1">
      <alignment horizontal="left"/>
    </xf>
    <xf numFmtId="0" fontId="0" fillId="0" borderId="20" xfId="0" applyBorder="1" applyAlignment="1">
      <alignment horizontal="center"/>
    </xf>
    <xf numFmtId="2" fontId="0" fillId="0" borderId="4" xfId="0" applyNumberFormat="1" applyBorder="1" applyAlignment="1">
      <alignment horizontal="center"/>
    </xf>
    <xf numFmtId="2" fontId="0" fillId="0" borderId="31" xfId="0" applyNumberFormat="1" applyBorder="1" applyAlignment="1">
      <alignment horizontal="center"/>
    </xf>
    <xf numFmtId="2" fontId="0" fillId="0" borderId="10" xfId="0" applyNumberFormat="1" applyBorder="1" applyAlignment="1">
      <alignment horizontal="center"/>
    </xf>
    <xf numFmtId="2" fontId="0" fillId="0" borderId="19" xfId="0" applyNumberFormat="1" applyBorder="1" applyAlignment="1">
      <alignment horizontal="center"/>
    </xf>
    <xf numFmtId="0" fontId="0" fillId="0" borderId="13" xfId="0" applyBorder="1" applyAlignment="1">
      <alignment horizontal="left"/>
    </xf>
    <xf numFmtId="0" fontId="0" fillId="0" borderId="33" xfId="0" applyBorder="1" applyAlignment="1">
      <alignment horizontal="left"/>
    </xf>
    <xf numFmtId="0" fontId="8" fillId="0" borderId="0" xfId="0" applyFont="1" applyBorder="1" applyAlignment="1">
      <alignment horizontal="center"/>
    </xf>
    <xf numFmtId="166" fontId="3" fillId="0" borderId="28" xfId="0" applyNumberFormat="1" applyFont="1" applyBorder="1" applyAlignment="1">
      <alignment horizontal="left"/>
    </xf>
    <xf numFmtId="0" fontId="0" fillId="0" borderId="1" xfId="0" applyBorder="1" applyAlignment="1">
      <alignment horizontal="left"/>
    </xf>
    <xf numFmtId="0" fontId="0" fillId="0" borderId="26" xfId="0" applyBorder="1" applyAlignment="1">
      <alignment horizontal="left"/>
    </xf>
    <xf numFmtId="0" fontId="3" fillId="0" borderId="34" xfId="0" applyFont="1" applyBorder="1" applyAlignment="1">
      <alignment horizontal="left"/>
    </xf>
    <xf numFmtId="0" fontId="0" fillId="0" borderId="35" xfId="0" applyBorder="1" applyAlignment="1">
      <alignment horizontal="left"/>
    </xf>
    <xf numFmtId="0" fontId="3" fillId="0" borderId="36" xfId="0" applyFont="1" applyFill="1" applyBorder="1" applyAlignment="1">
      <alignment horizontal="left"/>
    </xf>
    <xf numFmtId="0" fontId="0" fillId="0" borderId="24" xfId="0" applyFill="1" applyBorder="1" applyAlignment="1">
      <alignment horizontal="left"/>
    </xf>
    <xf numFmtId="2" fontId="2" fillId="0" borderId="35" xfId="0" applyNumberFormat="1" applyFont="1" applyBorder="1" applyAlignment="1">
      <alignment horizontal="left"/>
    </xf>
    <xf numFmtId="0" fontId="2" fillId="0" borderId="19" xfId="0" applyFont="1" applyBorder="1" applyAlignment="1">
      <alignment horizontal="left"/>
    </xf>
    <xf numFmtId="0" fontId="0" fillId="0" borderId="37" xfId="0" applyBorder="1" applyAlignment="1">
      <alignment horizontal="left"/>
    </xf>
    <xf numFmtId="166" fontId="2" fillId="0" borderId="24" xfId="0" applyNumberFormat="1" applyFont="1" applyBorder="1" applyAlignment="1">
      <alignment horizontal="left"/>
    </xf>
    <xf numFmtId="2" fontId="0" fillId="0" borderId="2" xfId="0" applyNumberFormat="1" applyBorder="1" applyAlignment="1">
      <alignment horizontal="center"/>
    </xf>
    <xf numFmtId="0" fontId="2" fillId="0" borderId="1" xfId="0" applyFont="1" applyBorder="1" applyAlignment="1">
      <alignment horizontal="center"/>
    </xf>
    <xf numFmtId="0" fontId="2" fillId="0" borderId="38" xfId="0" applyFont="1" applyBorder="1" applyAlignment="1">
      <alignment horizontal="center"/>
    </xf>
    <xf numFmtId="0" fontId="2" fillId="0" borderId="20" xfId="0" applyFont="1" applyBorder="1" applyAlignment="1">
      <alignment horizontal="center"/>
    </xf>
    <xf numFmtId="0" fontId="2" fillId="0" borderId="39" xfId="0" applyFont="1" applyBorder="1" applyAlignment="1">
      <alignment horizontal="center"/>
    </xf>
    <xf numFmtId="0" fontId="0" fillId="0" borderId="35" xfId="0" applyBorder="1" applyAlignment="1">
      <alignment horizontal="center"/>
    </xf>
    <xf numFmtId="0" fontId="0" fillId="0" borderId="21"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2" fontId="2" fillId="0" borderId="10" xfId="0" applyNumberFormat="1" applyFont="1" applyBorder="1" applyAlignment="1">
      <alignment horizontal="center"/>
    </xf>
    <xf numFmtId="2" fontId="0" fillId="0" borderId="10" xfId="0" applyNumberFormat="1" applyFill="1" applyBorder="1" applyAlignment="1">
      <alignment horizontal="center"/>
    </xf>
    <xf numFmtId="2" fontId="0" fillId="0" borderId="22" xfId="0" applyNumberFormat="1" applyBorder="1" applyAlignment="1">
      <alignment horizontal="center"/>
    </xf>
    <xf numFmtId="0" fontId="0" fillId="0" borderId="3" xfId="0" applyBorder="1" applyAlignment="1">
      <alignment horizontal="center"/>
    </xf>
    <xf numFmtId="0" fontId="0" fillId="0" borderId="42" xfId="0" applyBorder="1" applyAlignment="1">
      <alignment horizontal="center"/>
    </xf>
    <xf numFmtId="2" fontId="2" fillId="0" borderId="43" xfId="0" applyNumberFormat="1" applyFont="1" applyBorder="1" applyAlignment="1">
      <alignment horizontal="center"/>
    </xf>
    <xf numFmtId="2" fontId="2" fillId="0" borderId="1" xfId="0" applyNumberFormat="1" applyFont="1" applyBorder="1" applyAlignment="1">
      <alignment horizontal="center"/>
    </xf>
    <xf numFmtId="0" fontId="3" fillId="0" borderId="1" xfId="0" applyFont="1" applyBorder="1" applyAlignment="1">
      <alignment horizontal="center"/>
    </xf>
    <xf numFmtId="0" fontId="8" fillId="0" borderId="0" xfId="0" applyFont="1" applyBorder="1" applyAlignment="1">
      <alignment horizontal="left" wrapText="1"/>
    </xf>
    <xf numFmtId="166" fontId="2" fillId="0" borderId="26" xfId="0" applyNumberFormat="1" applyFont="1" applyBorder="1" applyAlignment="1">
      <alignment horizontal="left"/>
    </xf>
    <xf numFmtId="2" fontId="3" fillId="0" borderId="1" xfId="0" applyNumberFormat="1" applyFont="1" applyBorder="1" applyAlignment="1">
      <alignment horizontal="center"/>
    </xf>
    <xf numFmtId="166" fontId="3" fillId="0" borderId="1" xfId="0" applyNumberFormat="1" applyFont="1" applyBorder="1" applyAlignment="1">
      <alignment horizontal="center"/>
    </xf>
    <xf numFmtId="2" fontId="0" fillId="0" borderId="44" xfId="0" applyNumberFormat="1" applyFill="1" applyBorder="1" applyAlignment="1">
      <alignment horizontal="center"/>
    </xf>
    <xf numFmtId="0" fontId="0" fillId="0" borderId="45" xfId="0" applyBorder="1" applyAlignment="1">
      <alignment horizontal="center"/>
    </xf>
    <xf numFmtId="2" fontId="3" fillId="0" borderId="1" xfId="0" applyNumberFormat="1" applyFont="1" applyBorder="1" applyAlignment="1">
      <alignment horizontal="right"/>
    </xf>
    <xf numFmtId="168" fontId="2" fillId="0" borderId="1" xfId="0" applyNumberFormat="1" applyFont="1" applyBorder="1" applyAlignment="1">
      <alignment horizontal="center"/>
    </xf>
    <xf numFmtId="0" fontId="0" fillId="0" borderId="46" xfId="0" applyBorder="1" applyAlignment="1">
      <alignment horizontal="left"/>
    </xf>
    <xf numFmtId="0" fontId="0" fillId="0" borderId="47" xfId="0" applyBorder="1" applyAlignment="1">
      <alignment horizontal="left"/>
    </xf>
    <xf numFmtId="0" fontId="0" fillId="0" borderId="8" xfId="0" applyBorder="1" applyAlignment="1">
      <alignment horizontal="left"/>
    </xf>
    <xf numFmtId="0" fontId="3" fillId="0" borderId="0" xfId="0" applyFont="1" applyBorder="1" applyAlignment="1">
      <alignment horizontal="left"/>
    </xf>
    <xf numFmtId="0" fontId="0" fillId="0" borderId="48" xfId="0" applyBorder="1" applyAlignment="1">
      <alignment horizontal="left"/>
    </xf>
    <xf numFmtId="0" fontId="3" fillId="0" borderId="0" xfId="0" applyFont="1" applyBorder="1"/>
    <xf numFmtId="0" fontId="8" fillId="0" borderId="0" xfId="0" applyFont="1" applyBorder="1" applyAlignment="1">
      <alignment horizontal="left"/>
    </xf>
    <xf numFmtId="165" fontId="0" fillId="0" borderId="0" xfId="0" applyNumberFormat="1" applyBorder="1" applyAlignment="1">
      <alignment horizontal="left"/>
    </xf>
    <xf numFmtId="164" fontId="0" fillId="0" borderId="0" xfId="0" applyNumberFormat="1" applyBorder="1" applyAlignment="1">
      <alignment horizontal="left"/>
    </xf>
    <xf numFmtId="0" fontId="3" fillId="0" borderId="0" xfId="0" applyFont="1" applyBorder="1" applyAlignment="1">
      <alignment horizontal="centerContinuous"/>
    </xf>
    <xf numFmtId="0" fontId="0" fillId="0" borderId="0" xfId="0" applyBorder="1" applyAlignment="1">
      <alignment horizontal="centerContinuous"/>
    </xf>
    <xf numFmtId="0" fontId="0" fillId="0" borderId="49" xfId="0" applyBorder="1" applyAlignment="1">
      <alignment horizontal="left"/>
    </xf>
    <xf numFmtId="0" fontId="0" fillId="0" borderId="50" xfId="0" applyBorder="1" applyAlignment="1">
      <alignment horizontal="left"/>
    </xf>
    <xf numFmtId="0" fontId="0" fillId="0" borderId="51" xfId="0" applyBorder="1" applyAlignment="1">
      <alignment horizontal="left"/>
    </xf>
    <xf numFmtId="0" fontId="0" fillId="0" borderId="46" xfId="0" applyBorder="1"/>
    <xf numFmtId="0" fontId="3" fillId="0" borderId="0" xfId="0" applyFont="1" applyBorder="1" applyAlignment="1">
      <alignment wrapText="1"/>
    </xf>
    <xf numFmtId="2" fontId="8" fillId="0" borderId="50" xfId="0" applyNumberFormat="1" applyFont="1" applyBorder="1"/>
    <xf numFmtId="2" fontId="0" fillId="0" borderId="50" xfId="0" applyNumberFormat="1" applyBorder="1" applyAlignment="1">
      <alignment horizontal="center"/>
    </xf>
    <xf numFmtId="0" fontId="3" fillId="4" borderId="7" xfId="0" applyFont="1" applyFill="1" applyBorder="1" applyAlignment="1">
      <alignment horizontal="centerContinuous"/>
    </xf>
    <xf numFmtId="0" fontId="3" fillId="4" borderId="6" xfId="0" applyFont="1" applyFill="1" applyBorder="1" applyAlignment="1">
      <alignment horizontal="left"/>
    </xf>
    <xf numFmtId="0" fontId="6" fillId="4" borderId="7" xfId="0" applyFont="1" applyFill="1" applyBorder="1"/>
    <xf numFmtId="0" fontId="0" fillId="4" borderId="7" xfId="0" applyFill="1" applyBorder="1"/>
    <xf numFmtId="0" fontId="0" fillId="0" borderId="48" xfId="0" applyBorder="1"/>
    <xf numFmtId="0" fontId="10" fillId="0" borderId="0" xfId="0" applyFont="1" applyBorder="1"/>
    <xf numFmtId="0" fontId="0" fillId="0" borderId="51" xfId="0" applyBorder="1"/>
    <xf numFmtId="0" fontId="0" fillId="0" borderId="50" xfId="0" applyBorder="1"/>
    <xf numFmtId="0" fontId="12" fillId="4" borderId="6" xfId="0" applyFont="1" applyFill="1" applyBorder="1" applyAlignment="1">
      <alignment horizontal="left"/>
    </xf>
    <xf numFmtId="0" fontId="7" fillId="4" borderId="7" xfId="0" applyFont="1" applyFill="1" applyBorder="1" applyAlignment="1">
      <alignment horizontal="left"/>
    </xf>
    <xf numFmtId="0" fontId="0" fillId="4" borderId="7" xfId="0" applyFill="1" applyBorder="1" applyAlignment="1">
      <alignment horizontal="left"/>
    </xf>
    <xf numFmtId="0" fontId="0" fillId="4" borderId="52" xfId="0" applyFill="1" applyBorder="1" applyAlignment="1">
      <alignment horizontal="left"/>
    </xf>
    <xf numFmtId="0" fontId="7" fillId="4" borderId="7" xfId="0" applyFont="1" applyFill="1" applyBorder="1"/>
    <xf numFmtId="0" fontId="9" fillId="4" borderId="7" xfId="0" applyFont="1" applyFill="1" applyBorder="1"/>
    <xf numFmtId="0" fontId="3" fillId="0" borderId="26" xfId="0" applyFont="1" applyBorder="1"/>
    <xf numFmtId="0" fontId="3" fillId="0" borderId="26" xfId="0" applyFont="1" applyBorder="1" applyAlignment="1">
      <alignment wrapText="1"/>
    </xf>
    <xf numFmtId="2" fontId="0" fillId="0" borderId="26" xfId="0" applyNumberFormat="1" applyBorder="1" applyAlignment="1">
      <alignment horizontal="center"/>
    </xf>
    <xf numFmtId="0" fontId="3" fillId="0" borderId="21" xfId="0" applyFont="1" applyBorder="1" applyAlignment="1">
      <alignment wrapText="1"/>
    </xf>
    <xf numFmtId="43" fontId="1" fillId="0" borderId="0" xfId="1" applyNumberFormat="1" applyBorder="1" applyAlignment="1">
      <alignment horizontal="left"/>
    </xf>
    <xf numFmtId="2" fontId="0" fillId="0" borderId="31" xfId="0" applyNumberFormat="1" applyFill="1" applyBorder="1" applyAlignment="1">
      <alignment horizontal="center"/>
    </xf>
    <xf numFmtId="2" fontId="0" fillId="0" borderId="43" xfId="0" applyNumberFormat="1" applyBorder="1" applyAlignment="1">
      <alignment horizontal="center"/>
    </xf>
    <xf numFmtId="2" fontId="0" fillId="0" borderId="43" xfId="0" applyNumberFormat="1" applyFill="1" applyBorder="1" applyAlignment="1">
      <alignment horizontal="center"/>
    </xf>
    <xf numFmtId="2" fontId="2" fillId="0" borderId="1" xfId="0" applyNumberFormat="1" applyFont="1" applyBorder="1" applyAlignment="1">
      <alignment horizontal="left"/>
    </xf>
    <xf numFmtId="2" fontId="2" fillId="0" borderId="10" xfId="0" applyNumberFormat="1" applyFont="1" applyBorder="1" applyAlignment="1">
      <alignment horizontal="left"/>
    </xf>
    <xf numFmtId="2" fontId="2" fillId="0" borderId="26" xfId="0" applyNumberFormat="1" applyFont="1" applyBorder="1" applyAlignment="1">
      <alignment horizontal="center"/>
    </xf>
    <xf numFmtId="0" fontId="3" fillId="0" borderId="1" xfId="0" applyFont="1" applyBorder="1" applyAlignment="1">
      <alignment horizontal="center" wrapText="1"/>
    </xf>
    <xf numFmtId="0" fontId="14" fillId="0" borderId="20" xfId="0" applyFont="1" applyBorder="1" applyAlignment="1">
      <alignment wrapText="1"/>
    </xf>
    <xf numFmtId="2" fontId="3" fillId="0" borderId="1" xfId="0" applyNumberFormat="1" applyFont="1" applyBorder="1" applyAlignment="1" applyProtection="1">
      <alignment horizontal="center"/>
    </xf>
    <xf numFmtId="0" fontId="0" fillId="0" borderId="0" xfId="0" applyProtection="1"/>
    <xf numFmtId="0" fontId="3" fillId="3" borderId="26" xfId="0" applyFont="1" applyFill="1" applyBorder="1" applyAlignment="1">
      <alignment wrapText="1"/>
    </xf>
    <xf numFmtId="2" fontId="3" fillId="3" borderId="26" xfId="2" applyNumberFormat="1" applyFont="1" applyFill="1" applyBorder="1" applyAlignment="1">
      <alignment horizontal="center"/>
    </xf>
    <xf numFmtId="2" fontId="3" fillId="3" borderId="1" xfId="2" applyNumberFormat="1" applyFont="1" applyFill="1" applyBorder="1" applyAlignment="1">
      <alignment horizontal="center"/>
    </xf>
    <xf numFmtId="166" fontId="3" fillId="3" borderId="1" xfId="0" applyNumberFormat="1" applyFont="1" applyFill="1" applyBorder="1" applyAlignment="1">
      <alignment horizontal="center"/>
    </xf>
    <xf numFmtId="2" fontId="3" fillId="3" borderId="26" xfId="0" applyNumberFormat="1" applyFont="1" applyFill="1" applyBorder="1" applyAlignment="1">
      <alignment horizontal="center"/>
    </xf>
    <xf numFmtId="166" fontId="3" fillId="3" borderId="26" xfId="0" applyNumberFormat="1" applyFont="1" applyFill="1" applyBorder="1" applyAlignment="1">
      <alignment horizontal="center"/>
    </xf>
    <xf numFmtId="0" fontId="19" fillId="3" borderId="26" xfId="0" applyFont="1" applyFill="1" applyBorder="1" applyAlignment="1">
      <alignment wrapText="1"/>
    </xf>
    <xf numFmtId="166" fontId="2" fillId="0" borderId="26" xfId="0" applyNumberFormat="1" applyFont="1" applyBorder="1" applyAlignment="1">
      <alignment horizontal="center"/>
    </xf>
    <xf numFmtId="2" fontId="3" fillId="3" borderId="1" xfId="0" applyNumberFormat="1" applyFont="1" applyFill="1" applyBorder="1" applyAlignment="1">
      <alignment horizontal="center" wrapText="1"/>
    </xf>
    <xf numFmtId="2" fontId="8" fillId="0" borderId="26" xfId="0" applyNumberFormat="1" applyFont="1" applyBorder="1" applyAlignment="1" applyProtection="1">
      <alignment horizontal="center"/>
      <protection locked="0"/>
    </xf>
    <xf numFmtId="0" fontId="0" fillId="0" borderId="10" xfId="0" applyBorder="1" applyAlignment="1">
      <alignment horizontal="right"/>
    </xf>
    <xf numFmtId="0" fontId="14" fillId="0" borderId="0" xfId="0" applyFont="1" applyBorder="1" applyAlignment="1">
      <alignment wrapText="1"/>
    </xf>
    <xf numFmtId="0" fontId="0" fillId="0" borderId="34" xfId="0" applyBorder="1" applyAlignment="1">
      <alignment horizontal="left"/>
    </xf>
    <xf numFmtId="0" fontId="10" fillId="0" borderId="0" xfId="0" applyFont="1" applyBorder="1" applyAlignment="1">
      <alignment horizontal="left"/>
    </xf>
    <xf numFmtId="0" fontId="0" fillId="0" borderId="0" xfId="0" applyFill="1" applyBorder="1" applyAlignment="1">
      <alignment horizontal="left"/>
    </xf>
    <xf numFmtId="0" fontId="0" fillId="0" borderId="1" xfId="0" applyBorder="1" applyAlignment="1">
      <alignment horizontal="right"/>
    </xf>
    <xf numFmtId="0" fontId="3" fillId="0" borderId="1" xfId="0" applyFont="1" applyBorder="1" applyAlignment="1">
      <alignment horizontal="right"/>
    </xf>
    <xf numFmtId="0" fontId="3" fillId="0" borderId="10" xfId="0" applyFont="1" applyBorder="1" applyAlignment="1">
      <alignment horizontal="right"/>
    </xf>
    <xf numFmtId="0" fontId="0" fillId="0" borderId="1" xfId="0" applyBorder="1" applyAlignment="1">
      <alignment horizontal="right" wrapText="1"/>
    </xf>
    <xf numFmtId="2" fontId="3" fillId="0" borderId="10" xfId="0" applyNumberFormat="1" applyFont="1" applyBorder="1" applyAlignment="1">
      <alignment horizontal="right"/>
    </xf>
    <xf numFmtId="1" fontId="3" fillId="0" borderId="10" xfId="0" applyNumberFormat="1" applyFont="1" applyBorder="1" applyAlignment="1">
      <alignment horizontal="right"/>
    </xf>
    <xf numFmtId="0" fontId="0" fillId="0" borderId="10" xfId="0" applyBorder="1" applyAlignment="1">
      <alignment horizontal="right" wrapText="1"/>
    </xf>
    <xf numFmtId="1" fontId="0" fillId="0" borderId="1" xfId="0" applyNumberFormat="1" applyBorder="1" applyAlignment="1" applyProtection="1">
      <alignment horizontal="center"/>
      <protection locked="0"/>
    </xf>
    <xf numFmtId="2" fontId="3" fillId="0" borderId="1" xfId="0" applyNumberFormat="1" applyFont="1" applyBorder="1" applyAlignment="1">
      <alignment horizontal="left"/>
    </xf>
    <xf numFmtId="0" fontId="20" fillId="0" borderId="26" xfId="0" applyFont="1" applyBorder="1" applyAlignment="1">
      <alignment wrapText="1"/>
    </xf>
    <xf numFmtId="2" fontId="2" fillId="0" borderId="26" xfId="0" applyNumberFormat="1" applyFont="1" applyBorder="1" applyAlignment="1" applyProtection="1">
      <alignment horizontal="center"/>
      <protection locked="0"/>
    </xf>
    <xf numFmtId="2" fontId="2" fillId="0" borderId="1" xfId="0" applyNumberFormat="1" applyFont="1" applyBorder="1" applyAlignment="1" applyProtection="1">
      <alignment horizontal="center"/>
      <protection locked="0"/>
    </xf>
    <xf numFmtId="0" fontId="0" fillId="4" borderId="52" xfId="0" applyFill="1" applyBorder="1"/>
    <xf numFmtId="0" fontId="2" fillId="0" borderId="8" xfId="0" applyFont="1" applyFill="1" applyBorder="1" applyAlignment="1">
      <alignment horizontal="left" vertical="center"/>
    </xf>
    <xf numFmtId="0" fontId="0" fillId="0" borderId="0" xfId="0" applyFill="1" applyBorder="1" applyAlignment="1">
      <alignment horizontal="left" vertical="center"/>
    </xf>
    <xf numFmtId="0" fontId="3" fillId="0" borderId="0" xfId="0" applyFont="1" applyFill="1" applyBorder="1" applyAlignment="1">
      <alignment horizontal="left" vertical="center"/>
    </xf>
    <xf numFmtId="0" fontId="6" fillId="0" borderId="0" xfId="0" applyFont="1" applyFill="1" applyBorder="1" applyAlignment="1">
      <alignment horizontal="left" vertical="center"/>
    </xf>
    <xf numFmtId="0" fontId="5" fillId="5" borderId="0" xfId="0" applyFont="1" applyFill="1"/>
    <xf numFmtId="0" fontId="6" fillId="5" borderId="0" xfId="0" applyFont="1" applyFill="1"/>
    <xf numFmtId="0" fontId="0" fillId="5" borderId="0" xfId="0" applyFill="1"/>
    <xf numFmtId="14" fontId="3" fillId="5" borderId="0" xfId="0" applyNumberFormat="1" applyFont="1" applyFill="1"/>
    <xf numFmtId="0" fontId="0" fillId="5" borderId="0" xfId="0" applyFill="1" applyBorder="1"/>
    <xf numFmtId="0" fontId="2" fillId="5" borderId="0" xfId="0" applyFont="1" applyFill="1" applyBorder="1"/>
    <xf numFmtId="0" fontId="2" fillId="5" borderId="8" xfId="0" applyFont="1" applyFill="1" applyBorder="1" applyAlignment="1">
      <alignment horizontal="left" vertical="center"/>
    </xf>
    <xf numFmtId="0" fontId="2" fillId="5" borderId="0" xfId="0" applyFont="1" applyFill="1" applyBorder="1" applyAlignment="1">
      <alignment horizontal="left" wrapText="1"/>
    </xf>
    <xf numFmtId="0" fontId="0" fillId="5" borderId="0" xfId="0" applyFill="1" applyBorder="1" applyAlignment="1">
      <alignment horizontal="left" vertical="center"/>
    </xf>
    <xf numFmtId="0" fontId="3" fillId="6" borderId="6" xfId="0" applyFont="1" applyFill="1" applyBorder="1" applyAlignment="1">
      <alignment horizontal="left"/>
    </xf>
    <xf numFmtId="0" fontId="3" fillId="6" borderId="7" xfId="0" applyFont="1" applyFill="1" applyBorder="1" applyAlignment="1">
      <alignment horizontal="centerContinuous"/>
    </xf>
    <xf numFmtId="0" fontId="6" fillId="6" borderId="7" xfId="0" applyFont="1" applyFill="1" applyBorder="1"/>
    <xf numFmtId="0" fontId="0" fillId="6" borderId="7" xfId="0" applyFill="1" applyBorder="1"/>
    <xf numFmtId="0" fontId="0" fillId="6" borderId="52" xfId="0" applyFill="1" applyBorder="1"/>
    <xf numFmtId="0" fontId="0" fillId="5" borderId="34" xfId="0" applyFill="1" applyBorder="1"/>
    <xf numFmtId="0" fontId="0" fillId="5" borderId="46" xfId="0" applyFill="1" applyBorder="1"/>
    <xf numFmtId="0" fontId="0" fillId="5" borderId="47" xfId="0" applyFill="1" applyBorder="1"/>
    <xf numFmtId="0" fontId="3" fillId="5" borderId="8" xfId="0" applyFont="1" applyFill="1" applyBorder="1"/>
    <xf numFmtId="0" fontId="0" fillId="5" borderId="48" xfId="0" applyFill="1" applyBorder="1"/>
    <xf numFmtId="0" fontId="0" fillId="5" borderId="49" xfId="0" applyFill="1" applyBorder="1" applyAlignment="1">
      <alignment horizontal="left" wrapText="1"/>
    </xf>
    <xf numFmtId="0" fontId="0" fillId="5" borderId="50" xfId="0" applyFill="1" applyBorder="1" applyAlignment="1">
      <alignment horizontal="left" wrapText="1"/>
    </xf>
    <xf numFmtId="0" fontId="0" fillId="5" borderId="51" xfId="0" applyFill="1" applyBorder="1" applyAlignment="1">
      <alignment horizontal="left" wrapText="1"/>
    </xf>
    <xf numFmtId="0" fontId="3" fillId="5" borderId="34" xfId="0" applyFont="1" applyFill="1" applyBorder="1"/>
    <xf numFmtId="0" fontId="0" fillId="5" borderId="0" xfId="0" applyFill="1" applyBorder="1" applyAlignment="1">
      <alignment horizontal="center"/>
    </xf>
    <xf numFmtId="0" fontId="2" fillId="5" borderId="0" xfId="0" applyFont="1" applyFill="1" applyBorder="1" applyAlignment="1">
      <alignment horizontal="center"/>
    </xf>
    <xf numFmtId="0" fontId="0" fillId="5" borderId="8" xfId="0" applyFill="1" applyBorder="1" applyAlignment="1">
      <alignment horizontal="left"/>
    </xf>
    <xf numFmtId="0" fontId="0" fillId="5" borderId="0" xfId="0" applyFill="1" applyBorder="1" applyAlignment="1">
      <alignment horizontal="left"/>
    </xf>
    <xf numFmtId="0" fontId="3" fillId="5" borderId="8" xfId="0" applyFont="1" applyFill="1" applyBorder="1" applyAlignment="1">
      <alignment horizontal="left"/>
    </xf>
    <xf numFmtId="0" fontId="0" fillId="5" borderId="0" xfId="0" applyFill="1" applyBorder="1" applyAlignment="1">
      <alignment horizontal="right"/>
    </xf>
    <xf numFmtId="0" fontId="8" fillId="5" borderId="0" xfId="0" applyFont="1" applyFill="1" applyBorder="1" applyAlignment="1">
      <alignment horizontal="center"/>
    </xf>
    <xf numFmtId="0" fontId="3" fillId="5" borderId="1" xfId="0" applyFont="1" applyFill="1" applyBorder="1" applyAlignment="1">
      <alignment horizontal="center"/>
    </xf>
    <xf numFmtId="0" fontId="0" fillId="5" borderId="49" xfId="0" applyFill="1" applyBorder="1" applyAlignment="1">
      <alignment horizontal="left"/>
    </xf>
    <xf numFmtId="0" fontId="0" fillId="5" borderId="50" xfId="0" applyFill="1" applyBorder="1" applyAlignment="1">
      <alignment horizontal="left"/>
    </xf>
    <xf numFmtId="0" fontId="0" fillId="5" borderId="50" xfId="0" applyFill="1" applyBorder="1" applyAlignment="1">
      <alignment horizontal="right"/>
    </xf>
    <xf numFmtId="0" fontId="0" fillId="5" borderId="50" xfId="0" applyFill="1" applyBorder="1" applyAlignment="1">
      <alignment horizontal="center"/>
    </xf>
    <xf numFmtId="0" fontId="10" fillId="5" borderId="8" xfId="0" applyFont="1" applyFill="1" applyBorder="1" applyAlignment="1">
      <alignment wrapText="1"/>
    </xf>
    <xf numFmtId="0" fontId="10" fillId="5" borderId="0" xfId="0" applyFont="1" applyFill="1" applyBorder="1" applyAlignment="1">
      <alignment wrapText="1"/>
    </xf>
    <xf numFmtId="0" fontId="10" fillId="5" borderId="0" xfId="0" applyFont="1" applyFill="1" applyBorder="1" applyAlignment="1"/>
    <xf numFmtId="0" fontId="2" fillId="5" borderId="0" xfId="0" applyFont="1" applyFill="1" applyBorder="1" applyAlignment="1">
      <alignment horizontal="right"/>
    </xf>
    <xf numFmtId="166" fontId="3" fillId="5" borderId="1" xfId="0" applyNumberFormat="1" applyFont="1" applyFill="1" applyBorder="1" applyAlignment="1">
      <alignment horizontal="center"/>
    </xf>
    <xf numFmtId="2" fontId="3" fillId="5" borderId="1" xfId="0" applyNumberFormat="1" applyFont="1" applyFill="1" applyBorder="1" applyAlignment="1">
      <alignment horizontal="center"/>
    </xf>
    <xf numFmtId="0" fontId="0" fillId="5" borderId="49" xfId="0" applyFill="1" applyBorder="1"/>
    <xf numFmtId="0" fontId="0" fillId="5" borderId="50" xfId="0" applyFill="1" applyBorder="1"/>
    <xf numFmtId="0" fontId="2" fillId="5" borderId="8" xfId="0" applyFont="1" applyFill="1" applyBorder="1"/>
    <xf numFmtId="0" fontId="0" fillId="5" borderId="27" xfId="0" applyFill="1" applyBorder="1" applyAlignment="1">
      <alignment horizontal="center" vertical="center"/>
    </xf>
    <xf numFmtId="0" fontId="0" fillId="5" borderId="48" xfId="0" applyFill="1" applyBorder="1" applyAlignment="1">
      <alignment horizontal="left"/>
    </xf>
    <xf numFmtId="0" fontId="0" fillId="5" borderId="27" xfId="0" applyFill="1" applyBorder="1" applyAlignment="1">
      <alignment horizontal="center" vertical="center" wrapText="1"/>
    </xf>
    <xf numFmtId="0" fontId="0" fillId="5" borderId="51" xfId="0" applyFill="1" applyBorder="1" applyAlignment="1">
      <alignment horizontal="left"/>
    </xf>
    <xf numFmtId="0" fontId="10" fillId="5" borderId="48" xfId="0" applyFont="1" applyFill="1" applyBorder="1" applyAlignment="1">
      <alignment wrapText="1"/>
    </xf>
    <xf numFmtId="0" fontId="0" fillId="5" borderId="51" xfId="0" applyFill="1" applyBorder="1"/>
    <xf numFmtId="0" fontId="0" fillId="5" borderId="0" xfId="0" applyFill="1" applyAlignment="1">
      <alignment horizontal="left"/>
    </xf>
    <xf numFmtId="0" fontId="3" fillId="4" borderId="6" xfId="0" applyFont="1" applyFill="1" applyBorder="1" applyAlignment="1">
      <alignment horizontal="left" vertical="center"/>
    </xf>
    <xf numFmtId="0" fontId="0" fillId="5" borderId="0" xfId="0" applyFill="1" applyProtection="1"/>
    <xf numFmtId="0" fontId="0" fillId="5" borderId="0" xfId="0" applyFill="1" applyBorder="1" applyProtection="1"/>
    <xf numFmtId="0" fontId="0" fillId="5" borderId="21" xfId="0" applyFill="1" applyBorder="1" applyProtection="1"/>
    <xf numFmtId="0" fontId="0" fillId="5" borderId="20" xfId="0" applyFill="1" applyBorder="1" applyAlignment="1" applyProtection="1">
      <alignment horizontal="center"/>
    </xf>
    <xf numFmtId="0" fontId="0" fillId="5" borderId="0" xfId="0" applyFill="1" applyBorder="1" applyAlignment="1" applyProtection="1">
      <alignment horizontal="center"/>
    </xf>
    <xf numFmtId="0" fontId="0" fillId="5" borderId="22" xfId="0" applyFill="1" applyBorder="1" applyAlignment="1" applyProtection="1">
      <alignment horizontal="center"/>
    </xf>
    <xf numFmtId="0" fontId="0" fillId="5" borderId="23" xfId="0" applyFill="1" applyBorder="1" applyProtection="1"/>
    <xf numFmtId="0" fontId="0" fillId="5" borderId="24" xfId="0" applyFill="1" applyBorder="1" applyProtection="1"/>
    <xf numFmtId="0" fontId="0" fillId="5" borderId="20" xfId="0" applyFill="1" applyBorder="1" applyProtection="1"/>
    <xf numFmtId="170" fontId="0" fillId="5" borderId="20" xfId="0" applyNumberFormat="1" applyFill="1" applyBorder="1" applyProtection="1"/>
    <xf numFmtId="169" fontId="0" fillId="5" borderId="0" xfId="0" applyNumberFormat="1" applyFill="1" applyBorder="1" applyProtection="1"/>
    <xf numFmtId="165" fontId="0" fillId="5" borderId="0" xfId="0" applyNumberFormat="1" applyFill="1" applyBorder="1" applyAlignment="1" applyProtection="1">
      <alignment horizontal="center"/>
    </xf>
    <xf numFmtId="166" fontId="0" fillId="5" borderId="0" xfId="0" applyNumberFormat="1" applyFill="1" applyBorder="1" applyAlignment="1" applyProtection="1">
      <alignment horizontal="center"/>
    </xf>
    <xf numFmtId="2" fontId="2" fillId="5" borderId="21" xfId="0" applyNumberFormat="1" applyFont="1" applyFill="1" applyBorder="1" applyProtection="1"/>
    <xf numFmtId="166" fontId="2" fillId="5" borderId="0" xfId="0" applyNumberFormat="1" applyFont="1" applyFill="1" applyBorder="1" applyAlignment="1" applyProtection="1">
      <alignment horizontal="center"/>
    </xf>
    <xf numFmtId="0" fontId="0" fillId="5" borderId="22" xfId="0" applyFill="1" applyBorder="1" applyProtection="1"/>
    <xf numFmtId="165" fontId="0" fillId="5" borderId="23" xfId="0" applyNumberFormat="1" applyFill="1" applyBorder="1" applyAlignment="1" applyProtection="1">
      <alignment horizontal="center"/>
    </xf>
    <xf numFmtId="165" fontId="2" fillId="5" borderId="23" xfId="0" applyNumberFormat="1" applyFont="1" applyFill="1" applyBorder="1" applyAlignment="1" applyProtection="1">
      <alignment horizontal="center"/>
    </xf>
    <xf numFmtId="2" fontId="2" fillId="5" borderId="24" xfId="0" applyNumberFormat="1" applyFont="1" applyFill="1" applyBorder="1" applyProtection="1"/>
    <xf numFmtId="0" fontId="2" fillId="5" borderId="0" xfId="0" applyFont="1" applyFill="1" applyBorder="1" applyAlignment="1">
      <alignment horizontal="left" vertical="center" wrapText="1"/>
    </xf>
    <xf numFmtId="0" fontId="0" fillId="5" borderId="8" xfId="0" applyFill="1" applyBorder="1"/>
    <xf numFmtId="0" fontId="2" fillId="5" borderId="48" xfId="0" applyFont="1" applyFill="1" applyBorder="1"/>
    <xf numFmtId="0" fontId="2" fillId="5" borderId="48" xfId="0" applyFont="1" applyFill="1" applyBorder="1" applyAlignment="1">
      <alignment horizontal="left" wrapText="1"/>
    </xf>
    <xf numFmtId="0" fontId="0" fillId="0" borderId="48" xfId="0" applyFill="1" applyBorder="1" applyAlignment="1">
      <alignment horizontal="left" vertical="center"/>
    </xf>
    <xf numFmtId="0" fontId="1" fillId="5" borderId="8" xfId="0" applyFont="1" applyFill="1" applyBorder="1" applyAlignment="1">
      <alignment horizontal="left"/>
    </xf>
    <xf numFmtId="0" fontId="1" fillId="5" borderId="8" xfId="0" applyFont="1" applyFill="1" applyBorder="1"/>
    <xf numFmtId="0" fontId="3" fillId="5" borderId="0" xfId="0" applyFont="1" applyFill="1" applyBorder="1"/>
    <xf numFmtId="0" fontId="15" fillId="5" borderId="8" xfId="0" applyFont="1" applyFill="1" applyBorder="1"/>
    <xf numFmtId="0" fontId="15" fillId="5" borderId="0" xfId="0" applyFont="1" applyFill="1" applyBorder="1"/>
    <xf numFmtId="0" fontId="0" fillId="5" borderId="54" xfId="0" applyFill="1" applyBorder="1" applyProtection="1"/>
    <xf numFmtId="0" fontId="0" fillId="5" borderId="32" xfId="0" applyFill="1" applyBorder="1" applyProtection="1"/>
    <xf numFmtId="0" fontId="2" fillId="5" borderId="8" xfId="0" applyFont="1" applyFill="1" applyBorder="1" applyAlignment="1">
      <alignment horizontal="left" vertical="center" wrapText="1"/>
    </xf>
    <xf numFmtId="0" fontId="2" fillId="5" borderId="48" xfId="0" applyFont="1" applyFill="1" applyBorder="1" applyAlignment="1">
      <alignment horizontal="left" vertical="center" wrapText="1"/>
    </xf>
    <xf numFmtId="0" fontId="3" fillId="5" borderId="18" xfId="0" applyFont="1" applyFill="1" applyBorder="1" applyAlignment="1" applyProtection="1"/>
    <xf numFmtId="0" fontId="3" fillId="0" borderId="50" xfId="0" applyFont="1" applyFill="1" applyBorder="1" applyAlignment="1">
      <alignment horizontal="left" vertical="center"/>
    </xf>
    <xf numFmtId="0" fontId="6" fillId="0" borderId="50" xfId="0" applyFont="1" applyFill="1" applyBorder="1" applyAlignment="1">
      <alignment horizontal="left" vertical="center"/>
    </xf>
    <xf numFmtId="0" fontId="0" fillId="0" borderId="50" xfId="0" applyFill="1" applyBorder="1" applyAlignment="1">
      <alignment horizontal="left" vertical="center"/>
    </xf>
    <xf numFmtId="0" fontId="0" fillId="0" borderId="51" xfId="0" applyFill="1" applyBorder="1" applyAlignment="1">
      <alignment horizontal="left" vertical="center"/>
    </xf>
    <xf numFmtId="0" fontId="3" fillId="5" borderId="54"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167" fontId="2" fillId="5" borderId="1" xfId="0" applyNumberFormat="1" applyFont="1" applyFill="1" applyBorder="1" applyAlignment="1" applyProtection="1">
      <alignment horizontal="center" vertical="center"/>
    </xf>
    <xf numFmtId="18" fontId="2" fillId="5" borderId="1" xfId="0" applyNumberFormat="1" applyFont="1" applyFill="1" applyBorder="1" applyAlignment="1" applyProtection="1">
      <alignment horizontal="center" vertical="center"/>
    </xf>
    <xf numFmtId="2" fontId="2" fillId="5" borderId="1" xfId="0" applyNumberFormat="1" applyFont="1" applyFill="1" applyBorder="1" applyAlignment="1" applyProtection="1">
      <alignment horizontal="center" vertical="center"/>
    </xf>
    <xf numFmtId="0" fontId="0" fillId="5" borderId="1" xfId="0" applyFill="1" applyBorder="1" applyAlignment="1" applyProtection="1">
      <alignment horizontal="center"/>
    </xf>
    <xf numFmtId="0" fontId="0" fillId="5" borderId="53" xfId="0" applyFill="1" applyBorder="1"/>
    <xf numFmtId="0" fontId="0" fillId="5" borderId="54" xfId="0" applyFill="1" applyBorder="1"/>
    <xf numFmtId="0" fontId="0" fillId="5" borderId="20" xfId="0" applyFill="1" applyBorder="1"/>
    <xf numFmtId="0" fontId="2" fillId="5" borderId="0" xfId="0" applyFont="1" applyFill="1" applyBorder="1" applyAlignment="1" applyProtection="1">
      <alignment horizontal="right"/>
    </xf>
    <xf numFmtId="0" fontId="17" fillId="5" borderId="0" xfId="0" applyFont="1" applyFill="1" applyBorder="1" applyProtection="1"/>
    <xf numFmtId="0" fontId="0" fillId="5" borderId="0" xfId="0" applyFill="1" applyBorder="1" applyAlignment="1" applyProtection="1">
      <alignment horizontal="center" vertical="center"/>
    </xf>
    <xf numFmtId="166" fontId="0" fillId="5" borderId="0" xfId="0" applyNumberFormat="1" applyFill="1" applyBorder="1" applyAlignment="1" applyProtection="1">
      <alignment horizontal="center" vertical="center"/>
    </xf>
    <xf numFmtId="2" fontId="2" fillId="5" borderId="21" xfId="0" applyNumberFormat="1" applyFont="1" applyFill="1" applyBorder="1" applyAlignment="1" applyProtection="1">
      <alignment horizontal="center" vertical="center"/>
    </xf>
    <xf numFmtId="0" fontId="2" fillId="5" borderId="21" xfId="0" applyFont="1" applyFill="1" applyBorder="1" applyAlignment="1" applyProtection="1">
      <alignment horizontal="left"/>
    </xf>
    <xf numFmtId="0" fontId="0" fillId="5" borderId="21" xfId="0" applyFill="1" applyBorder="1"/>
    <xf numFmtId="0" fontId="2" fillId="5" borderId="21" xfId="0" applyFont="1" applyFill="1" applyBorder="1" applyProtection="1"/>
    <xf numFmtId="171" fontId="0" fillId="5" borderId="1" xfId="1" applyNumberFormat="1" applyFont="1" applyFill="1" applyBorder="1" applyAlignment="1" applyProtection="1">
      <alignment horizontal="center"/>
    </xf>
    <xf numFmtId="171" fontId="2" fillId="5" borderId="1" xfId="1" applyNumberFormat="1" applyFont="1" applyFill="1" applyBorder="1" applyAlignment="1" applyProtection="1">
      <alignment horizontal="center" vertical="center"/>
    </xf>
    <xf numFmtId="2" fontId="0" fillId="5" borderId="0" xfId="0" applyNumberFormat="1" applyFill="1" applyBorder="1" applyAlignment="1" applyProtection="1">
      <alignment horizontal="center"/>
    </xf>
    <xf numFmtId="2" fontId="0" fillId="5" borderId="0" xfId="0" applyNumberFormat="1" applyFill="1" applyBorder="1" applyAlignment="1" applyProtection="1">
      <alignment horizontal="center" vertical="center"/>
    </xf>
    <xf numFmtId="165" fontId="2" fillId="5" borderId="0" xfId="0" applyNumberFormat="1" applyFont="1" applyFill="1" applyBorder="1" applyAlignment="1" applyProtection="1">
      <alignment horizontal="right"/>
    </xf>
    <xf numFmtId="171" fontId="0" fillId="5" borderId="1" xfId="1" applyNumberFormat="1" applyFont="1" applyFill="1" applyBorder="1" applyAlignment="1" applyProtection="1">
      <alignment horizontal="center" vertical="center"/>
    </xf>
    <xf numFmtId="0" fontId="0" fillId="5" borderId="0" xfId="0" applyFill="1" applyBorder="1" applyAlignment="1" applyProtection="1">
      <alignment wrapText="1"/>
    </xf>
    <xf numFmtId="0" fontId="22" fillId="5" borderId="0" xfId="0" applyFont="1" applyFill="1" applyBorder="1"/>
    <xf numFmtId="0" fontId="22" fillId="5" borderId="0" xfId="0" applyFont="1" applyFill="1" applyBorder="1" applyProtection="1"/>
    <xf numFmtId="0" fontId="3" fillId="5" borderId="0" xfId="0" applyFont="1" applyFill="1" applyBorder="1" applyAlignment="1" applyProtection="1">
      <alignment horizontal="right"/>
    </xf>
    <xf numFmtId="170" fontId="0" fillId="5" borderId="1" xfId="0" applyNumberFormat="1" applyFill="1" applyBorder="1" applyAlignment="1" applyProtection="1">
      <alignment horizontal="center" vertical="center"/>
    </xf>
    <xf numFmtId="169" fontId="0" fillId="5" borderId="1" xfId="0" applyNumberFormat="1" applyFill="1" applyBorder="1" applyAlignment="1" applyProtection="1">
      <alignment horizontal="center" vertical="center"/>
    </xf>
    <xf numFmtId="10" fontId="0" fillId="5" borderId="1" xfId="2" applyNumberFormat="1" applyFont="1" applyFill="1" applyBorder="1" applyAlignment="1" applyProtection="1">
      <alignment horizontal="center" vertical="center"/>
    </xf>
    <xf numFmtId="10" fontId="2" fillId="5" borderId="1" xfId="2" applyNumberFormat="1" applyFont="1" applyFill="1" applyBorder="1" applyAlignment="1" applyProtection="1">
      <alignment horizontal="center" vertical="center"/>
    </xf>
    <xf numFmtId="166" fontId="0" fillId="5" borderId="1" xfId="0" applyNumberFormat="1" applyFill="1" applyBorder="1" applyAlignment="1" applyProtection="1">
      <alignment horizontal="center" vertical="center"/>
    </xf>
    <xf numFmtId="166" fontId="2" fillId="5" borderId="1" xfId="0" applyNumberFormat="1" applyFont="1" applyFill="1" applyBorder="1" applyAlignment="1" applyProtection="1">
      <alignment horizontal="center" vertical="center"/>
    </xf>
    <xf numFmtId="170" fontId="0" fillId="5" borderId="20" xfId="0" applyNumberFormat="1" applyFill="1" applyBorder="1" applyAlignment="1" applyProtection="1">
      <alignment horizontal="center" vertical="center"/>
    </xf>
    <xf numFmtId="169" fontId="0" fillId="5" borderId="0" xfId="0" applyNumberFormat="1" applyFill="1" applyBorder="1" applyAlignment="1" applyProtection="1">
      <alignment horizontal="center" vertical="center"/>
    </xf>
    <xf numFmtId="165" fontId="0" fillId="5" borderId="0" xfId="0" applyNumberFormat="1" applyFill="1" applyBorder="1" applyAlignment="1" applyProtection="1">
      <alignment horizontal="center" vertical="center"/>
    </xf>
    <xf numFmtId="166" fontId="2" fillId="5" borderId="0" xfId="0" applyNumberFormat="1" applyFont="1" applyFill="1" applyBorder="1" applyAlignment="1" applyProtection="1">
      <alignment horizontal="center" vertical="center"/>
    </xf>
    <xf numFmtId="0" fontId="23" fillId="5" borderId="1" xfId="0" applyFont="1" applyFill="1" applyBorder="1" applyAlignment="1" applyProtection="1">
      <alignment horizontal="center" vertical="center" wrapText="1"/>
    </xf>
    <xf numFmtId="167" fontId="2" fillId="5" borderId="54" xfId="0" applyNumberFormat="1" applyFont="1" applyFill="1" applyBorder="1" applyAlignment="1" applyProtection="1">
      <alignment horizontal="center" vertical="center"/>
    </xf>
    <xf numFmtId="18" fontId="2" fillId="5" borderId="54" xfId="0" applyNumberFormat="1" applyFont="1" applyFill="1" applyBorder="1" applyAlignment="1" applyProtection="1">
      <alignment horizontal="center" vertical="center"/>
    </xf>
    <xf numFmtId="2" fontId="2" fillId="5" borderId="54" xfId="0" applyNumberFormat="1" applyFont="1" applyFill="1" applyBorder="1" applyAlignment="1" applyProtection="1">
      <alignment horizontal="center" vertical="center"/>
    </xf>
    <xf numFmtId="167" fontId="2" fillId="5" borderId="54" xfId="0" applyNumberFormat="1" applyFont="1" applyFill="1" applyBorder="1" applyProtection="1"/>
    <xf numFmtId="18" fontId="2" fillId="5" borderId="54" xfId="0" applyNumberFormat="1" applyFont="1" applyFill="1" applyBorder="1" applyProtection="1"/>
    <xf numFmtId="2" fontId="2" fillId="5" borderId="54" xfId="0" applyNumberFormat="1" applyFont="1" applyFill="1" applyBorder="1" applyProtection="1"/>
    <xf numFmtId="1" fontId="2" fillId="5" borderId="54" xfId="0" applyNumberFormat="1" applyFont="1" applyFill="1" applyBorder="1" applyAlignment="1" applyProtection="1">
      <alignment horizontal="center"/>
    </xf>
    <xf numFmtId="0" fontId="0" fillId="0" borderId="17" xfId="0" applyBorder="1" applyAlignment="1">
      <alignment horizontal="center" wrapText="1"/>
    </xf>
    <xf numFmtId="0" fontId="3" fillId="5" borderId="0" xfId="0" applyFont="1" applyFill="1" applyBorder="1" applyAlignment="1">
      <alignment horizontal="left" vertical="top" wrapText="1"/>
    </xf>
    <xf numFmtId="0" fontId="2" fillId="5" borderId="0" xfId="0" applyFont="1" applyFill="1" applyBorder="1" applyAlignment="1">
      <alignment horizontal="left" vertical="top" wrapText="1"/>
    </xf>
    <xf numFmtId="0" fontId="1" fillId="5" borderId="0" xfId="0" applyFont="1" applyFill="1" applyBorder="1" applyAlignment="1">
      <alignment horizontal="left"/>
    </xf>
    <xf numFmtId="0" fontId="1" fillId="5" borderId="0" xfId="0" applyFont="1" applyFill="1" applyBorder="1"/>
    <xf numFmtId="0" fontId="2" fillId="5" borderId="0" xfId="0" applyFont="1" applyFill="1" applyBorder="1" applyAlignment="1">
      <alignment horizontal="left"/>
    </xf>
    <xf numFmtId="0" fontId="3" fillId="5" borderId="48" xfId="0" applyFont="1" applyFill="1" applyBorder="1" applyAlignment="1">
      <alignment vertical="top" wrapText="1"/>
    </xf>
    <xf numFmtId="0" fontId="7" fillId="5" borderId="8" xfId="0" applyFont="1" applyFill="1" applyBorder="1" applyAlignment="1">
      <alignment horizontal="center"/>
    </xf>
    <xf numFmtId="0" fontId="7" fillId="5" borderId="0" xfId="0" applyFont="1" applyFill="1" applyBorder="1" applyAlignment="1">
      <alignment horizontal="center"/>
    </xf>
    <xf numFmtId="0" fontId="7" fillId="5" borderId="48" xfId="0" applyFont="1" applyFill="1" applyBorder="1" applyAlignment="1">
      <alignment horizontal="center"/>
    </xf>
    <xf numFmtId="0" fontId="0" fillId="0" borderId="47" xfId="0" applyBorder="1" applyAlignment="1">
      <alignment horizontal="left" vertical="top"/>
    </xf>
    <xf numFmtId="0" fontId="0" fillId="0" borderId="0" xfId="0" applyBorder="1" applyAlignment="1">
      <alignment horizontal="left" vertical="top"/>
    </xf>
    <xf numFmtId="0" fontId="0" fillId="0" borderId="48" xfId="0" applyBorder="1" applyAlignment="1">
      <alignment horizontal="left" vertical="top"/>
    </xf>
    <xf numFmtId="0" fontId="2" fillId="0" borderId="0" xfId="0" applyFont="1" applyBorder="1" applyAlignment="1">
      <alignment horizontal="left" vertical="center"/>
    </xf>
    <xf numFmtId="0" fontId="6" fillId="0" borderId="0" xfId="0" applyFont="1" applyBorder="1" applyAlignment="1">
      <alignment horizontal="left" vertical="center"/>
    </xf>
    <xf numFmtId="0" fontId="0" fillId="0" borderId="0" xfId="0" applyAlignment="1">
      <alignment horizontal="left" vertical="center"/>
    </xf>
    <xf numFmtId="0" fontId="0" fillId="0" borderId="46" xfId="0" applyBorder="1" applyAlignment="1">
      <alignment horizontal="left" vertical="center"/>
    </xf>
    <xf numFmtId="0" fontId="0" fillId="0" borderId="0" xfId="0" applyBorder="1" applyAlignment="1">
      <alignment horizontal="left" vertical="center"/>
    </xf>
    <xf numFmtId="0" fontId="2" fillId="0" borderId="0" xfId="0" applyFont="1" applyFill="1" applyBorder="1" applyAlignment="1">
      <alignment horizontal="left" vertical="center"/>
    </xf>
    <xf numFmtId="0" fontId="0" fillId="6" borderId="7" xfId="0" applyFill="1" applyBorder="1" applyAlignment="1">
      <alignment horizontal="left"/>
    </xf>
    <xf numFmtId="0" fontId="0" fillId="6" borderId="7" xfId="0" applyFill="1" applyBorder="1" applyAlignment="1">
      <alignment horizontal="right"/>
    </xf>
    <xf numFmtId="0" fontId="0" fillId="6" borderId="7" xfId="0" applyFill="1" applyBorder="1" applyAlignment="1">
      <alignment horizontal="center"/>
    </xf>
    <xf numFmtId="0" fontId="0" fillId="6" borderId="52" xfId="0" applyFill="1" applyBorder="1" applyAlignment="1">
      <alignment horizontal="left"/>
    </xf>
    <xf numFmtId="0" fontId="3" fillId="6" borderId="6" xfId="0" applyFont="1" applyFill="1" applyBorder="1" applyAlignment="1">
      <alignment vertical="center"/>
    </xf>
    <xf numFmtId="0" fontId="3" fillId="0" borderId="46" xfId="0" applyFont="1" applyBorder="1" applyAlignment="1">
      <alignment horizontal="left"/>
    </xf>
    <xf numFmtId="0" fontId="1" fillId="0" borderId="0" xfId="0" applyFont="1" applyBorder="1" applyAlignment="1">
      <alignment horizontal="left" vertical="top"/>
    </xf>
    <xf numFmtId="0" fontId="1" fillId="0" borderId="8" xfId="0" applyFont="1" applyFill="1" applyBorder="1" applyAlignment="1">
      <alignment horizontal="left" vertical="center"/>
    </xf>
    <xf numFmtId="0" fontId="2" fillId="5" borderId="50" xfId="0" applyFont="1" applyFill="1" applyBorder="1" applyAlignment="1">
      <alignment horizontal="left" wrapText="1"/>
    </xf>
    <xf numFmtId="0" fontId="2" fillId="5" borderId="51" xfId="0" applyFont="1" applyFill="1" applyBorder="1" applyAlignment="1">
      <alignment wrapText="1"/>
    </xf>
    <xf numFmtId="0" fontId="28" fillId="7" borderId="1" xfId="0" applyFont="1" applyFill="1" applyBorder="1" applyAlignment="1" applyProtection="1">
      <alignment horizontal="center" vertical="center" wrapText="1"/>
      <protection locked="0"/>
    </xf>
    <xf numFmtId="0" fontId="28" fillId="7" borderId="9" xfId="0" applyFont="1" applyFill="1" applyBorder="1" applyAlignment="1" applyProtection="1">
      <alignment horizontal="center"/>
      <protection locked="0"/>
    </xf>
    <xf numFmtId="0" fontId="28" fillId="7" borderId="1" xfId="0" applyFont="1" applyFill="1" applyBorder="1" applyAlignment="1" applyProtection="1">
      <alignment horizontal="center" vertical="center"/>
      <protection locked="0"/>
    </xf>
    <xf numFmtId="2" fontId="28" fillId="7" borderId="1" xfId="0" applyNumberFormat="1" applyFont="1" applyFill="1" applyBorder="1" applyAlignment="1" applyProtection="1">
      <alignment horizontal="center" vertical="center"/>
      <protection locked="0"/>
    </xf>
    <xf numFmtId="0" fontId="28" fillId="0" borderId="0" xfId="0" applyFont="1" applyBorder="1" applyAlignment="1">
      <alignment horizontal="left"/>
    </xf>
    <xf numFmtId="167" fontId="28" fillId="0" borderId="1" xfId="0" applyNumberFormat="1" applyFont="1" applyBorder="1" applyProtection="1">
      <protection locked="0"/>
    </xf>
    <xf numFmtId="18" fontId="28" fillId="0" borderId="1" xfId="0" applyNumberFormat="1" applyFont="1" applyBorder="1" applyProtection="1">
      <protection locked="0"/>
    </xf>
    <xf numFmtId="2" fontId="28" fillId="0" borderId="1" xfId="0" applyNumberFormat="1" applyFont="1" applyBorder="1" applyProtection="1">
      <protection locked="0"/>
    </xf>
    <xf numFmtId="167" fontId="28" fillId="0" borderId="1" xfId="0" applyNumberFormat="1" applyFont="1" applyFill="1" applyBorder="1" applyProtection="1">
      <protection locked="0"/>
    </xf>
    <xf numFmtId="2" fontId="28" fillId="0" borderId="10" xfId="0" applyNumberFormat="1" applyFont="1" applyBorder="1" applyAlignment="1" applyProtection="1">
      <alignment horizontal="right"/>
      <protection locked="0"/>
    </xf>
    <xf numFmtId="0" fontId="28" fillId="0" borderId="0" xfId="0" applyFont="1" applyBorder="1"/>
    <xf numFmtId="2" fontId="28" fillId="0" borderId="1" xfId="0" applyNumberFormat="1" applyFont="1" applyBorder="1" applyAlignment="1" applyProtection="1">
      <alignment horizontal="center"/>
      <protection locked="0"/>
    </xf>
    <xf numFmtId="0" fontId="28" fillId="0" borderId="26" xfId="0" applyFont="1" applyBorder="1" applyAlignment="1">
      <alignment wrapText="1"/>
    </xf>
    <xf numFmtId="167" fontId="28" fillId="8" borderId="1" xfId="0" applyNumberFormat="1" applyFont="1" applyFill="1" applyBorder="1" applyProtection="1">
      <protection locked="0"/>
    </xf>
    <xf numFmtId="18" fontId="28" fillId="8" borderId="1" xfId="0" applyNumberFormat="1" applyFont="1" applyFill="1" applyBorder="1" applyProtection="1">
      <protection locked="0"/>
    </xf>
    <xf numFmtId="2" fontId="28" fillId="8" borderId="1" xfId="0" applyNumberFormat="1" applyFont="1" applyFill="1" applyBorder="1" applyProtection="1">
      <protection locked="0"/>
    </xf>
    <xf numFmtId="168" fontId="2" fillId="8" borderId="1" xfId="0" applyNumberFormat="1" applyFont="1" applyFill="1" applyBorder="1" applyAlignment="1">
      <alignment horizontal="center"/>
    </xf>
    <xf numFmtId="166" fontId="0" fillId="8" borderId="1" xfId="0" applyNumberFormat="1" applyFill="1" applyBorder="1" applyAlignment="1">
      <alignment horizontal="center"/>
    </xf>
    <xf numFmtId="0" fontId="28" fillId="7" borderId="1" xfId="0" applyFont="1" applyFill="1" applyBorder="1" applyAlignment="1" applyProtection="1">
      <alignment horizontal="center"/>
      <protection locked="0"/>
    </xf>
    <xf numFmtId="14" fontId="2" fillId="0" borderId="0" xfId="0" applyNumberFormat="1" applyFont="1" applyBorder="1" applyAlignment="1">
      <alignment horizontal="left" wrapText="1"/>
    </xf>
    <xf numFmtId="14" fontId="2" fillId="0" borderId="48" xfId="0" applyNumberFormat="1" applyFont="1" applyBorder="1" applyAlignment="1">
      <alignment horizontal="left"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14" fontId="1" fillId="0" borderId="8" xfId="0" applyNumberFormat="1" applyFont="1" applyBorder="1" applyAlignment="1">
      <alignment horizontal="left" vertical="top"/>
    </xf>
    <xf numFmtId="0" fontId="6" fillId="6" borderId="7" xfId="0" applyFont="1" applyFill="1" applyBorder="1" applyAlignment="1">
      <alignment horizontal="center" vertical="center"/>
    </xf>
    <xf numFmtId="0" fontId="6" fillId="6" borderId="52" xfId="0" applyFont="1" applyFill="1" applyBorder="1" applyAlignment="1">
      <alignment horizontal="center" vertical="center"/>
    </xf>
    <xf numFmtId="0" fontId="0" fillId="4" borderId="7" xfId="0" applyFill="1" applyBorder="1" applyAlignment="1">
      <alignment horizontal="right" vertical="center"/>
    </xf>
    <xf numFmtId="0" fontId="0" fillId="4" borderId="52" xfId="0" applyFill="1" applyBorder="1" applyAlignment="1">
      <alignment horizontal="right" vertical="center"/>
    </xf>
    <xf numFmtId="0" fontId="2" fillId="5" borderId="0" xfId="0" applyFont="1" applyFill="1" applyBorder="1" applyAlignment="1">
      <alignment horizontal="left" wrapText="1"/>
    </xf>
    <xf numFmtId="0" fontId="0" fillId="5" borderId="37" xfId="0" applyFill="1" applyBorder="1" applyAlignment="1">
      <alignment horizontal="right" vertical="center"/>
    </xf>
    <xf numFmtId="0" fontId="0" fillId="5" borderId="37" xfId="0" applyFill="1" applyBorder="1" applyAlignment="1">
      <alignment horizontal="right"/>
    </xf>
    <xf numFmtId="0" fontId="1" fillId="5" borderId="37" xfId="0" applyFont="1" applyFill="1" applyBorder="1" applyAlignment="1">
      <alignment horizontal="center" wrapText="1"/>
    </xf>
    <xf numFmtId="0" fontId="3" fillId="0" borderId="50" xfId="0" applyFont="1" applyBorder="1" applyAlignment="1">
      <alignment horizontal="center"/>
    </xf>
    <xf numFmtId="14" fontId="2" fillId="0" borderId="8" xfId="0" applyNumberFormat="1" applyFont="1" applyBorder="1" applyAlignment="1">
      <alignment horizontal="left" vertical="top"/>
    </xf>
    <xf numFmtId="14" fontId="2" fillId="0" borderId="0" xfId="0" applyNumberFormat="1" applyFont="1" applyBorder="1" applyAlignment="1">
      <alignment wrapText="1"/>
    </xf>
    <xf numFmtId="14" fontId="2" fillId="0" borderId="48" xfId="0" applyNumberFormat="1" applyFont="1" applyBorder="1" applyAlignment="1">
      <alignment wrapText="1"/>
    </xf>
    <xf numFmtId="14" fontId="2" fillId="0" borderId="0" xfId="0" applyNumberFormat="1" applyFont="1" applyBorder="1" applyAlignment="1">
      <alignment horizontal="left" vertical="top"/>
    </xf>
    <xf numFmtId="14" fontId="2" fillId="0" borderId="48" xfId="0" applyNumberFormat="1" applyFont="1" applyBorder="1" applyAlignment="1">
      <alignment horizontal="left" vertical="top"/>
    </xf>
    <xf numFmtId="14" fontId="0" fillId="0" borderId="49" xfId="0" applyNumberFormat="1" applyBorder="1" applyAlignment="1">
      <alignment horizontal="left" vertical="top"/>
    </xf>
    <xf numFmtId="0" fontId="1" fillId="0" borderId="34" xfId="0" applyFont="1" applyBorder="1" applyAlignment="1">
      <alignment horizontal="left" vertical="center"/>
    </xf>
    <xf numFmtId="0" fontId="1" fillId="0" borderId="8" xfId="0" applyFont="1" applyBorder="1" applyAlignment="1">
      <alignment horizontal="left" vertical="center"/>
    </xf>
    <xf numFmtId="0" fontId="2" fillId="0" borderId="0" xfId="0" applyFont="1" applyBorder="1" applyAlignment="1">
      <alignment horizontal="left" vertical="center" wrapText="1"/>
    </xf>
    <xf numFmtId="0" fontId="2" fillId="0" borderId="48" xfId="0" applyFont="1" applyBorder="1" applyAlignment="1">
      <alignment horizontal="left" vertical="center" wrapText="1"/>
    </xf>
    <xf numFmtId="0" fontId="2" fillId="0" borderId="34"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170" fontId="1" fillId="0" borderId="34" xfId="0" applyNumberFormat="1" applyFont="1" applyBorder="1" applyAlignment="1">
      <alignment horizontal="left" vertical="center"/>
    </xf>
    <xf numFmtId="170" fontId="2" fillId="0" borderId="8" xfId="0" applyNumberFormat="1" applyFont="1" applyBorder="1" applyAlignment="1">
      <alignment horizontal="left" vertical="center"/>
    </xf>
    <xf numFmtId="170" fontId="0" fillId="0" borderId="8" xfId="0" applyNumberFormat="1" applyBorder="1" applyAlignment="1">
      <alignment horizontal="left" vertical="center"/>
    </xf>
    <xf numFmtId="170" fontId="0" fillId="0" borderId="8" xfId="0" applyNumberFormat="1" applyBorder="1" applyAlignment="1">
      <alignment horizontal="left" vertical="top"/>
    </xf>
    <xf numFmtId="170" fontId="1" fillId="0" borderId="8" xfId="0" applyNumberFormat="1" applyFont="1" applyBorder="1" applyAlignment="1">
      <alignment horizontal="left" vertical="top"/>
    </xf>
    <xf numFmtId="0" fontId="2" fillId="0" borderId="0" xfId="0" applyFont="1" applyBorder="1" applyAlignment="1">
      <alignment horizontal="left" vertical="top"/>
    </xf>
    <xf numFmtId="0" fontId="21" fillId="0" borderId="0" xfId="0" applyFont="1" applyBorder="1" applyAlignment="1">
      <alignment horizontal="left" vertical="top"/>
    </xf>
    <xf numFmtId="0" fontId="1" fillId="0" borderId="0" xfId="0" applyFont="1" applyAlignment="1">
      <alignment horizontal="left" vertical="center"/>
    </xf>
    <xf numFmtId="0" fontId="1" fillId="0" borderId="0" xfId="0" applyFont="1" applyBorder="1" applyAlignment="1">
      <alignment horizontal="left" vertical="center"/>
    </xf>
    <xf numFmtId="0" fontId="2" fillId="5" borderId="50" xfId="0" applyFont="1" applyFill="1" applyBorder="1" applyAlignment="1"/>
    <xf numFmtId="0" fontId="2" fillId="5" borderId="0" xfId="0" applyFont="1" applyFill="1" applyBorder="1" applyAlignment="1"/>
    <xf numFmtId="0" fontId="2" fillId="5" borderId="0" xfId="0" applyFont="1" applyFill="1" applyBorder="1" applyAlignment="1">
      <alignment wrapText="1"/>
    </xf>
    <xf numFmtId="0" fontId="1" fillId="5" borderId="49" xfId="0" applyFont="1" applyFill="1" applyBorder="1" applyAlignment="1"/>
    <xf numFmtId="0" fontId="0" fillId="5" borderId="37" xfId="0" applyFill="1" applyBorder="1" applyAlignment="1">
      <alignment horizontal="right" wrapText="1"/>
    </xf>
    <xf numFmtId="0" fontId="0" fillId="5" borderId="37" xfId="0" applyFill="1" applyBorder="1" applyAlignment="1">
      <alignment horizontal="left" wrapText="1"/>
    </xf>
    <xf numFmtId="0" fontId="0" fillId="5" borderId="37" xfId="0" applyFill="1" applyBorder="1" applyAlignment="1">
      <alignment horizontal="left"/>
    </xf>
    <xf numFmtId="0" fontId="2" fillId="5" borderId="37" xfId="0" applyFont="1" applyFill="1" applyBorder="1" applyAlignment="1">
      <alignment horizontal="left" vertical="center"/>
    </xf>
    <xf numFmtId="0" fontId="3" fillId="6" borderId="34" xfId="0" applyFont="1" applyFill="1" applyBorder="1" applyAlignment="1">
      <alignment vertical="center"/>
    </xf>
    <xf numFmtId="0" fontId="0" fillId="6" borderId="46" xfId="0" applyFill="1" applyBorder="1"/>
    <xf numFmtId="0" fontId="3" fillId="5" borderId="5" xfId="0" applyFont="1" applyFill="1" applyBorder="1"/>
    <xf numFmtId="0" fontId="0" fillId="5" borderId="57" xfId="0" applyFill="1" applyBorder="1"/>
    <xf numFmtId="0" fontId="0" fillId="5" borderId="58" xfId="0" applyFill="1" applyBorder="1"/>
    <xf numFmtId="0" fontId="0" fillId="5" borderId="37" xfId="0" applyFill="1" applyBorder="1"/>
    <xf numFmtId="0" fontId="0" fillId="5" borderId="59" xfId="0" applyFill="1" applyBorder="1" applyAlignment="1">
      <alignment horizontal="right" vertical="center"/>
    </xf>
    <xf numFmtId="0" fontId="0" fillId="5" borderId="59" xfId="0" applyFill="1" applyBorder="1" applyAlignment="1">
      <alignment horizontal="right"/>
    </xf>
    <xf numFmtId="0" fontId="0" fillId="5" borderId="27" xfId="0" applyFill="1" applyBorder="1" applyAlignment="1">
      <alignment horizontal="left"/>
    </xf>
    <xf numFmtId="0" fontId="1" fillId="5" borderId="59" xfId="0" applyFont="1" applyFill="1" applyBorder="1" applyAlignment="1">
      <alignment horizontal="right" vertical="center"/>
    </xf>
    <xf numFmtId="0" fontId="1" fillId="5" borderId="59" xfId="0" applyFont="1" applyFill="1" applyBorder="1" applyAlignment="1">
      <alignment horizontal="right"/>
    </xf>
    <xf numFmtId="0" fontId="0" fillId="5" borderId="29" xfId="0" applyFill="1" applyBorder="1" applyAlignment="1">
      <alignment horizontal="left"/>
    </xf>
    <xf numFmtId="0" fontId="0" fillId="5" borderId="60" xfId="0" applyFill="1" applyBorder="1" applyAlignment="1">
      <alignment horizontal="right"/>
    </xf>
    <xf numFmtId="0" fontId="0" fillId="5" borderId="61" xfId="0" applyFill="1" applyBorder="1" applyAlignment="1">
      <alignment horizontal="right"/>
    </xf>
    <xf numFmtId="0" fontId="7" fillId="4" borderId="6" xfId="0" applyFont="1" applyFill="1" applyBorder="1" applyAlignment="1">
      <alignment horizontal="left" vertical="top"/>
    </xf>
    <xf numFmtId="0" fontId="7" fillId="4" borderId="7" xfId="0" applyFont="1" applyFill="1" applyBorder="1" applyAlignment="1">
      <alignment horizontal="left" vertical="top"/>
    </xf>
    <xf numFmtId="0" fontId="7" fillId="4" borderId="52" xfId="0" applyFont="1" applyFill="1" applyBorder="1" applyAlignment="1">
      <alignment horizontal="left" vertical="top"/>
    </xf>
    <xf numFmtId="0" fontId="2" fillId="5" borderId="8" xfId="0" applyFont="1" applyFill="1" applyBorder="1" applyAlignment="1">
      <alignment horizontal="left" vertical="top"/>
    </xf>
    <xf numFmtId="0" fontId="1" fillId="5" borderId="8" xfId="0" applyFont="1" applyFill="1" applyBorder="1" applyAlignment="1">
      <alignment horizontal="left" vertical="top"/>
    </xf>
    <xf numFmtId="0" fontId="0" fillId="5" borderId="0" xfId="0" applyFill="1" applyBorder="1" applyAlignment="1">
      <alignment horizontal="left" vertical="top"/>
    </xf>
    <xf numFmtId="0" fontId="0" fillId="5" borderId="48" xfId="0" applyFill="1" applyBorder="1" applyAlignment="1">
      <alignment horizontal="left" vertical="top"/>
    </xf>
    <xf numFmtId="0" fontId="2" fillId="5" borderId="0" xfId="0" applyFont="1" applyFill="1" applyBorder="1" applyAlignment="1">
      <alignment horizontal="left" vertical="top"/>
    </xf>
    <xf numFmtId="0" fontId="2" fillId="5" borderId="48" xfId="0" applyFont="1" applyFill="1" applyBorder="1" applyAlignment="1">
      <alignment horizontal="left" vertical="top"/>
    </xf>
    <xf numFmtId="171" fontId="0" fillId="5" borderId="0" xfId="1" applyNumberFormat="1" applyFont="1" applyFill="1" applyBorder="1" applyAlignment="1" applyProtection="1">
      <alignment horizontal="right" vertical="center"/>
    </xf>
    <xf numFmtId="166" fontId="0" fillId="5" borderId="0" xfId="0" applyNumberFormat="1" applyFill="1" applyBorder="1" applyAlignment="1" applyProtection="1">
      <alignment horizontal="right" vertical="center"/>
    </xf>
    <xf numFmtId="0" fontId="2" fillId="0" borderId="0" xfId="0" applyFont="1" applyBorder="1" applyAlignment="1">
      <alignment horizontal="left"/>
    </xf>
    <xf numFmtId="0" fontId="2" fillId="0" borderId="50" xfId="0" applyFont="1" applyBorder="1" applyAlignment="1">
      <alignment horizontal="left"/>
    </xf>
    <xf numFmtId="0" fontId="1" fillId="0" borderId="0" xfId="0" applyFont="1" applyBorder="1" applyAlignment="1">
      <alignment horizontal="left"/>
    </xf>
    <xf numFmtId="0" fontId="13" fillId="4" borderId="6" xfId="0" applyFont="1" applyFill="1" applyBorder="1" applyAlignment="1">
      <alignment horizontal="left" vertical="center"/>
    </xf>
    <xf numFmtId="0" fontId="13" fillId="4" borderId="7" xfId="0" applyFont="1" applyFill="1" applyBorder="1" applyAlignment="1">
      <alignment horizontal="left" vertical="center"/>
    </xf>
    <xf numFmtId="0" fontId="13" fillId="4" borderId="52" xfId="0" applyFont="1" applyFill="1" applyBorder="1" applyAlignment="1">
      <alignment horizontal="left" vertical="center"/>
    </xf>
    <xf numFmtId="0" fontId="28" fillId="0" borderId="54" xfId="0" applyFont="1" applyBorder="1" applyAlignment="1">
      <alignment horizontal="center"/>
    </xf>
    <xf numFmtId="0" fontId="28" fillId="0" borderId="0" xfId="0" applyFont="1" applyBorder="1" applyAlignment="1">
      <alignment horizontal="center"/>
    </xf>
    <xf numFmtId="0" fontId="28" fillId="0" borderId="54" xfId="0" applyFont="1" applyBorder="1" applyAlignment="1">
      <alignment horizontal="left" vertical="center"/>
    </xf>
    <xf numFmtId="0" fontId="3" fillId="0" borderId="28" xfId="0" applyFont="1" applyBorder="1" applyAlignment="1">
      <alignment horizontal="left"/>
    </xf>
    <xf numFmtId="0" fontId="3" fillId="0" borderId="37" xfId="0" applyFont="1" applyBorder="1" applyAlignment="1">
      <alignment horizontal="left"/>
    </xf>
    <xf numFmtId="0" fontId="0" fillId="0" borderId="56" xfId="0" applyBorder="1" applyAlignment="1">
      <alignment horizontal="left"/>
    </xf>
    <xf numFmtId="0" fontId="0" fillId="0" borderId="57" xfId="0" applyBorder="1" applyAlignment="1">
      <alignment horizontal="left"/>
    </xf>
    <xf numFmtId="0" fontId="0" fillId="0" borderId="25" xfId="0" applyBorder="1" applyAlignment="1">
      <alignment horizontal="left"/>
    </xf>
    <xf numFmtId="0" fontId="2" fillId="5" borderId="0" xfId="0" applyFont="1" applyFill="1" applyBorder="1" applyAlignment="1">
      <alignment horizontal="left" vertical="top" wrapText="1"/>
    </xf>
    <xf numFmtId="0" fontId="3" fillId="4" borderId="55" xfId="0" applyFont="1" applyFill="1" applyBorder="1" applyAlignment="1" applyProtection="1"/>
    <xf numFmtId="0" fontId="3" fillId="4" borderId="37" xfId="0" applyFont="1" applyFill="1" applyBorder="1" applyAlignment="1" applyProtection="1"/>
    <xf numFmtId="0" fontId="3" fillId="4" borderId="26" xfId="0" applyFont="1" applyFill="1" applyBorder="1" applyAlignment="1" applyProtection="1"/>
    <xf numFmtId="0" fontId="3" fillId="4" borderId="55" xfId="0" applyFont="1" applyFill="1" applyBorder="1" applyAlignment="1" applyProtection="1">
      <alignment horizontal="left"/>
    </xf>
    <xf numFmtId="0" fontId="3" fillId="4" borderId="37" xfId="0" applyFont="1" applyFill="1" applyBorder="1" applyAlignment="1" applyProtection="1">
      <alignment horizontal="left"/>
    </xf>
    <xf numFmtId="0" fontId="3" fillId="4" borderId="26" xfId="0" applyFont="1" applyFill="1" applyBorder="1" applyAlignment="1" applyProtection="1">
      <alignment horizontal="left"/>
    </xf>
    <xf numFmtId="170" fontId="3" fillId="6" borderId="55" xfId="0" applyNumberFormat="1" applyFont="1" applyFill="1" applyBorder="1" applyAlignment="1" applyProtection="1"/>
    <xf numFmtId="170" fontId="3" fillId="6" borderId="37" xfId="0" applyNumberFormat="1" applyFont="1" applyFill="1" applyBorder="1" applyAlignment="1" applyProtection="1"/>
    <xf numFmtId="170" fontId="3" fillId="6" borderId="26" xfId="0" applyNumberFormat="1" applyFont="1" applyFill="1" applyBorder="1" applyAlignment="1" applyProtection="1"/>
    <xf numFmtId="0" fontId="3" fillId="4" borderId="55" xfId="0" applyFont="1" applyFill="1" applyBorder="1" applyAlignment="1" applyProtection="1">
      <alignment vertical="center"/>
    </xf>
    <xf numFmtId="0" fontId="3" fillId="4" borderId="37" xfId="0" applyFont="1" applyFill="1" applyBorder="1" applyAlignment="1" applyProtection="1">
      <alignment vertical="center"/>
    </xf>
    <xf numFmtId="0" fontId="3" fillId="4" borderId="26" xfId="0" applyFont="1" applyFill="1" applyBorder="1" applyAlignment="1" applyProtection="1">
      <alignment vertical="center"/>
    </xf>
    <xf numFmtId="0" fontId="7" fillId="6" borderId="6" xfId="0" applyFont="1" applyFill="1" applyBorder="1" applyAlignment="1"/>
    <xf numFmtId="0" fontId="7" fillId="6" borderId="7" xfId="0" applyFont="1" applyFill="1" applyBorder="1" applyAlignment="1"/>
    <xf numFmtId="0" fontId="7" fillId="6" borderId="52" xfId="0" applyFont="1" applyFill="1" applyBorder="1" applyAlignment="1"/>
    <xf numFmtId="0" fontId="2" fillId="5" borderId="0" xfId="0" applyFont="1" applyFill="1" applyBorder="1" applyAlignment="1">
      <alignment vertical="center" wrapText="1"/>
    </xf>
    <xf numFmtId="0" fontId="2" fillId="5" borderId="48" xfId="0" applyFont="1" applyFill="1" applyBorder="1" applyAlignment="1">
      <alignment vertical="center" wrapText="1"/>
    </xf>
    <xf numFmtId="0" fontId="2" fillId="5" borderId="8" xfId="0" applyFont="1" applyFill="1" applyBorder="1" applyAlignment="1">
      <alignment vertical="center"/>
    </xf>
    <xf numFmtId="0" fontId="2" fillId="5" borderId="0" xfId="0" applyFont="1" applyFill="1" applyBorder="1" applyAlignment="1">
      <alignment vertical="center"/>
    </xf>
    <xf numFmtId="0" fontId="2" fillId="5" borderId="48" xfId="0" applyFont="1" applyFill="1" applyBorder="1" applyAlignment="1">
      <alignment vertical="center"/>
    </xf>
    <xf numFmtId="0" fontId="1" fillId="5" borderId="8" xfId="0" applyFont="1" applyFill="1" applyBorder="1" applyAlignment="1">
      <alignment vertical="center"/>
    </xf>
    <xf numFmtId="166" fontId="0" fillId="5" borderId="0" xfId="0" applyNumberFormat="1" applyFill="1" applyBorder="1" applyAlignment="1" applyProtection="1">
      <alignment vertical="center"/>
    </xf>
    <xf numFmtId="0" fontId="1" fillId="5" borderId="0" xfId="0" applyFont="1" applyFill="1" applyBorder="1" applyAlignment="1">
      <alignment vertical="center"/>
    </xf>
    <xf numFmtId="0" fontId="2" fillId="5" borderId="46" xfId="0" applyFont="1" applyFill="1" applyBorder="1" applyAlignment="1">
      <alignment vertical="center"/>
    </xf>
    <xf numFmtId="0" fontId="2" fillId="5" borderId="47" xfId="0" applyFont="1" applyFill="1" applyBorder="1" applyAlignment="1">
      <alignment vertical="center"/>
    </xf>
    <xf numFmtId="0" fontId="1" fillId="5" borderId="34" xfId="0" applyFont="1" applyFill="1" applyBorder="1" applyAlignment="1">
      <alignment vertical="center"/>
    </xf>
    <xf numFmtId="0" fontId="1" fillId="5" borderId="46" xfId="0" applyFont="1" applyFill="1" applyBorder="1" applyAlignment="1">
      <alignment vertical="center"/>
    </xf>
    <xf numFmtId="0" fontId="3" fillId="5" borderId="0" xfId="0" applyFont="1" applyFill="1" applyBorder="1" applyAlignment="1">
      <alignment vertical="top"/>
    </xf>
    <xf numFmtId="0" fontId="1" fillId="5" borderId="0" xfId="0" applyFont="1" applyFill="1" applyBorder="1" applyAlignment="1">
      <alignment vertical="top"/>
    </xf>
    <xf numFmtId="0" fontId="2" fillId="5" borderId="0" xfId="0" applyFont="1" applyFill="1" applyBorder="1" applyAlignment="1">
      <alignment vertical="top" wrapText="1"/>
    </xf>
    <xf numFmtId="0" fontId="2" fillId="5" borderId="0" xfId="0" applyFont="1" applyFill="1" applyBorder="1" applyAlignment="1">
      <alignment vertical="top"/>
    </xf>
    <xf numFmtId="0" fontId="3" fillId="5" borderId="0" xfId="0" applyFont="1" applyFill="1" applyBorder="1" applyAlignment="1" applyProtection="1">
      <alignment vertical="center"/>
    </xf>
    <xf numFmtId="0" fontId="0" fillId="5" borderId="0" xfId="0" applyFill="1" applyBorder="1" applyAlignment="1">
      <alignment vertical="top" wrapText="1"/>
    </xf>
    <xf numFmtId="0" fontId="16" fillId="5" borderId="23" xfId="0" applyFont="1" applyFill="1" applyBorder="1" applyAlignment="1" applyProtection="1"/>
    <xf numFmtId="0" fontId="0" fillId="5" borderId="23" xfId="0" applyFill="1" applyBorder="1"/>
    <xf numFmtId="0" fontId="16" fillId="5" borderId="23" xfId="0" applyFont="1" applyFill="1" applyBorder="1" applyAlignment="1" applyProtection="1">
      <alignment horizontal="left"/>
    </xf>
    <xf numFmtId="0" fontId="16" fillId="5" borderId="24" xfId="0" applyFont="1" applyFill="1" applyBorder="1" applyAlignment="1" applyProtection="1">
      <alignment horizontal="left"/>
    </xf>
    <xf numFmtId="0" fontId="0" fillId="5" borderId="22" xfId="0" applyFill="1" applyBorder="1"/>
    <xf numFmtId="0" fontId="6" fillId="6" borderId="6" xfId="0" applyFont="1" applyFill="1" applyBorder="1" applyAlignment="1">
      <alignment horizontal="left" vertical="center"/>
    </xf>
    <xf numFmtId="0" fontId="7" fillId="4" borderId="6" xfId="0" applyFont="1" applyFill="1" applyBorder="1" applyAlignment="1"/>
    <xf numFmtId="0" fontId="7" fillId="4" borderId="7" xfId="0" applyFont="1" applyFill="1" applyBorder="1" applyAlignment="1"/>
    <xf numFmtId="0" fontId="7" fillId="4" borderId="52" xfId="0" applyFont="1" applyFill="1" applyBorder="1" applyAlignment="1"/>
    <xf numFmtId="0" fontId="26" fillId="5" borderId="0" xfId="0" applyFont="1" applyFill="1" applyBorder="1" applyAlignment="1">
      <alignment vertical="top"/>
    </xf>
    <xf numFmtId="0" fontId="1" fillId="5" borderId="0" xfId="0" applyFont="1" applyFill="1" applyBorder="1" applyAlignment="1">
      <alignment horizontal="left" vertical="top"/>
    </xf>
    <xf numFmtId="0" fontId="31" fillId="5" borderId="0" xfId="0" applyFont="1" applyFill="1" applyBorder="1" applyAlignment="1">
      <alignment horizontal="left"/>
    </xf>
    <xf numFmtId="0" fontId="32" fillId="5" borderId="0" xfId="0" applyFont="1" applyFill="1" applyBorder="1" applyAlignment="1">
      <alignment horizontal="center"/>
    </xf>
    <xf numFmtId="166" fontId="31" fillId="5" borderId="0" xfId="0" applyNumberFormat="1" applyFont="1" applyFill="1" applyBorder="1" applyAlignment="1">
      <alignment horizontal="center"/>
    </xf>
    <xf numFmtId="0" fontId="1" fillId="0" borderId="0" xfId="0" applyFont="1" applyFill="1" applyBorder="1" applyAlignment="1">
      <alignment horizontal="left" vertical="center"/>
    </xf>
    <xf numFmtId="0" fontId="31" fillId="0" borderId="0" xfId="0" applyFont="1" applyAlignment="1">
      <alignment horizontal="left"/>
    </xf>
    <xf numFmtId="0" fontId="1" fillId="0" borderId="0" xfId="0" applyFont="1" applyAlignment="1">
      <alignment horizontal="left"/>
    </xf>
    <xf numFmtId="0" fontId="15" fillId="0" borderId="0" xfId="0" applyFont="1" applyBorder="1" applyAlignment="1">
      <alignment horizontal="left"/>
    </xf>
    <xf numFmtId="0" fontId="21" fillId="0" borderId="0" xfId="0" applyFont="1" applyBorder="1"/>
    <xf numFmtId="0" fontId="3" fillId="4" borderId="49" xfId="0" applyFont="1" applyFill="1" applyBorder="1" applyAlignment="1">
      <alignment horizontal="left"/>
    </xf>
    <xf numFmtId="2" fontId="0" fillId="5" borderId="26" xfId="0" applyNumberFormat="1" applyFill="1" applyBorder="1" applyAlignment="1">
      <alignment horizontal="center"/>
    </xf>
    <xf numFmtId="0" fontId="0" fillId="5" borderId="17" xfId="0" applyFill="1" applyBorder="1" applyAlignment="1">
      <alignment horizontal="center"/>
    </xf>
    <xf numFmtId="2" fontId="0" fillId="5" borderId="22" xfId="0" applyNumberFormat="1" applyFill="1" applyBorder="1" applyAlignment="1">
      <alignment horizontal="center"/>
    </xf>
    <xf numFmtId="0" fontId="1" fillId="5" borderId="9" xfId="0" applyFont="1" applyFill="1" applyBorder="1" applyAlignment="1">
      <alignment horizontal="center"/>
    </xf>
    <xf numFmtId="2" fontId="0" fillId="5" borderId="1" xfId="0" applyNumberFormat="1" applyFill="1" applyBorder="1" applyAlignment="1">
      <alignment horizontal="center"/>
    </xf>
    <xf numFmtId="0" fontId="28" fillId="9" borderId="1" xfId="0" applyFont="1" applyFill="1" applyBorder="1" applyAlignment="1" applyProtection="1">
      <alignment horizontal="center" vertical="center" wrapText="1"/>
      <protection locked="0"/>
    </xf>
    <xf numFmtId="0" fontId="28" fillId="9" borderId="9" xfId="0" applyFont="1" applyFill="1" applyBorder="1" applyAlignment="1" applyProtection="1">
      <alignment horizontal="center"/>
      <protection locked="0"/>
    </xf>
    <xf numFmtId="0" fontId="28" fillId="9" borderId="1" xfId="0" applyFont="1" applyFill="1" applyBorder="1" applyAlignment="1" applyProtection="1">
      <alignment horizontal="center" vertical="center"/>
      <protection locked="0"/>
    </xf>
    <xf numFmtId="2" fontId="28" fillId="9" borderId="1" xfId="0" applyNumberFormat="1" applyFont="1" applyFill="1" applyBorder="1" applyAlignment="1" applyProtection="1">
      <alignment horizontal="center" vertical="center"/>
      <protection locked="0"/>
    </xf>
    <xf numFmtId="0" fontId="1" fillId="0" borderId="0" xfId="0" applyFont="1" applyFill="1" applyBorder="1" applyAlignment="1">
      <alignment horizontal="left" vertical="top"/>
    </xf>
    <xf numFmtId="172" fontId="0" fillId="0" borderId="49" xfId="0" applyNumberFormat="1" applyBorder="1" applyAlignment="1">
      <alignment horizontal="left" vertical="top"/>
    </xf>
    <xf numFmtId="0" fontId="23" fillId="0" borderId="20" xfId="0" applyFont="1" applyBorder="1" applyAlignment="1">
      <alignment horizontal="left" vertical="top" wrapText="1"/>
    </xf>
    <xf numFmtId="0" fontId="23" fillId="0" borderId="0" xfId="0" applyFont="1" applyBorder="1" applyAlignment="1">
      <alignment horizontal="left" vertical="top" wrapText="1"/>
    </xf>
    <xf numFmtId="2" fontId="10" fillId="0" borderId="46" xfId="0" applyNumberFormat="1" applyFont="1" applyBorder="1" applyAlignment="1">
      <alignment horizontal="left" wrapText="1"/>
    </xf>
    <xf numFmtId="2" fontId="10" fillId="0" borderId="0" xfId="0" applyNumberFormat="1" applyFont="1" applyBorder="1" applyAlignment="1">
      <alignment horizontal="left" wrapText="1"/>
    </xf>
    <xf numFmtId="0" fontId="3" fillId="0" borderId="27" xfId="0" applyFont="1" applyBorder="1" applyAlignment="1">
      <alignment horizontal="left" wrapText="1"/>
    </xf>
    <xf numFmtId="0" fontId="3" fillId="0" borderId="26" xfId="0" applyFont="1" applyBorder="1" applyAlignment="1">
      <alignment horizontal="left" wrapText="1"/>
    </xf>
    <xf numFmtId="0" fontId="10" fillId="0" borderId="46" xfId="0" applyFont="1" applyBorder="1" applyAlignment="1">
      <alignment horizontal="left" wrapText="1"/>
    </xf>
    <xf numFmtId="0" fontId="10" fillId="0" borderId="0" xfId="0" applyFont="1" applyBorder="1" applyAlignment="1">
      <alignment horizontal="left" wrapText="1"/>
    </xf>
  </cellXfs>
  <cellStyles count="3">
    <cellStyle name="Comma" xfId="1" builtinId="3"/>
    <cellStyle name="Normal" xfId="0" builtinId="0"/>
    <cellStyle name="Percent" xfId="2" builtinId="5"/>
  </cellStyles>
  <dxfs count="84">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FF00"/>
        </patternFill>
      </fill>
    </dxf>
  </dxfs>
  <tableStyles count="0" defaultTableStyle="TableStyleMedium2" defaultPivotStyle="PivotStyleLight16"/>
  <colors>
    <mruColors>
      <color rgb="FF99CCFF"/>
      <color rgb="FF33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Example Graph</a:t>
            </a:r>
          </a:p>
        </c:rich>
      </c:tx>
      <c:layout>
        <c:manualLayout>
          <c:xMode val="edge"/>
          <c:yMode val="edge"/>
          <c:x val="0.39641997435742643"/>
          <c:y val="3.7037037037037056E-2"/>
        </c:manualLayout>
      </c:layout>
      <c:overlay val="0"/>
      <c:spPr>
        <a:noFill/>
        <a:ln w="25400">
          <a:noFill/>
        </a:ln>
      </c:spPr>
    </c:title>
    <c:autoTitleDeleted val="0"/>
    <c:plotArea>
      <c:layout>
        <c:manualLayout>
          <c:layoutTarget val="inner"/>
          <c:xMode val="edge"/>
          <c:yMode val="edge"/>
          <c:x val="0.16368306885773271"/>
          <c:y val="0.17777842078421871"/>
          <c:w val="0.76726438527062157"/>
          <c:h val="0.64444677534279271"/>
        </c:manualLayout>
      </c:layout>
      <c:scatterChart>
        <c:scatterStyle val="lineMarker"/>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xVal>
            <c:numRef>
              <c:f>Example!$H$18:$H$47</c:f>
              <c:numCache>
                <c:formatCode>0.0</c:formatCode>
                <c:ptCount val="30"/>
                <c:pt idx="0">
                  <c:v>0</c:v>
                </c:pt>
                <c:pt idx="1">
                  <c:v>0.20972222222189885</c:v>
                </c:pt>
                <c:pt idx="2">
                  <c:v>0.41875000000436557</c:v>
                </c:pt>
                <c:pt idx="3">
                  <c:v>0.66944444444379769</c:v>
                </c:pt>
                <c:pt idx="4">
                  <c:v>0.96250000000145519</c:v>
                </c:pt>
                <c:pt idx="5">
                  <c:v>1.171527777776646</c:v>
                </c:pt>
                <c:pt idx="6">
                  <c:v>1.4229166666700621</c:v>
                </c:pt>
                <c:pt idx="7">
                  <c:v>1.6319444444452529</c:v>
                </c:pt>
                <c:pt idx="8">
                  <c:v>2.0083333333313931</c:v>
                </c:pt>
                <c:pt idx="9">
                  <c:v>2.2180555555532919</c:v>
                </c:pt>
                <c:pt idx="10">
                  <c:v>2.46875</c:v>
                </c:pt>
                <c:pt idx="11">
                  <c:v>2.6777777777824667</c:v>
                </c:pt>
                <c:pt idx="12">
                  <c:v>3.054861111115315</c:v>
                </c:pt>
                <c:pt idx="13">
                  <c:v>3.2222222222262644</c:v>
                </c:pt>
                <c:pt idx="14">
                  <c:v>3.4312500000014552</c:v>
                </c:pt>
                <c:pt idx="15">
                  <c:v>3.6819444444481633</c:v>
                </c:pt>
                <c:pt idx="16">
                  <c:v>4.0166666666700621</c:v>
                </c:pt>
                <c:pt idx="17">
                  <c:v>4.226388888891961</c:v>
                </c:pt>
                <c:pt idx="18">
                  <c:v>4.4770833333313931</c:v>
                </c:pt>
                <c:pt idx="19">
                  <c:v>4.6868055555532919</c:v>
                </c:pt>
                <c:pt idx="20">
                  <c:v>4.9791666666642413</c:v>
                </c:pt>
                <c:pt idx="21">
                  <c:v>5.2722222222218988</c:v>
                </c:pt>
                <c:pt idx="22">
                  <c:v>5.5229166666686069</c:v>
                </c:pt>
                <c:pt idx="23">
                  <c:v>5.7319444444437977</c:v>
                </c:pt>
                <c:pt idx="24">
                  <c:v>5.9416666666656965</c:v>
                </c:pt>
                <c:pt idx="25">
                  <c:v>6.1923611111124046</c:v>
                </c:pt>
                <c:pt idx="26">
                  <c:v>6.4437499999985448</c:v>
                </c:pt>
                <c:pt idx="27">
                  <c:v>6.6944444444452529</c:v>
                </c:pt>
                <c:pt idx="28">
                  <c:v>6.9875000000029104</c:v>
                </c:pt>
                <c:pt idx="29">
                  <c:v>7.1965277777781012</c:v>
                </c:pt>
              </c:numCache>
            </c:numRef>
          </c:xVal>
          <c:yVal>
            <c:numRef>
              <c:f>Example!$R$18:$R$47</c:f>
              <c:numCache>
                <c:formatCode>0.0</c:formatCode>
                <c:ptCount val="30"/>
                <c:pt idx="0">
                  <c:v>19</c:v>
                </c:pt>
                <c:pt idx="1">
                  <c:v>16.899999999999999</c:v>
                </c:pt>
                <c:pt idx="2">
                  <c:v>18.399999999999999</c:v>
                </c:pt>
                <c:pt idx="3">
                  <c:v>16.600000000000001</c:v>
                </c:pt>
                <c:pt idx="4">
                  <c:v>18.899999999999999</c:v>
                </c:pt>
                <c:pt idx="5">
                  <c:v>16.899999999999999</c:v>
                </c:pt>
                <c:pt idx="6">
                  <c:v>18.7</c:v>
                </c:pt>
                <c:pt idx="7">
                  <c:v>16.899999999999999</c:v>
                </c:pt>
                <c:pt idx="8">
                  <c:v>19.5</c:v>
                </c:pt>
                <c:pt idx="9">
                  <c:v>17.399999999999999</c:v>
                </c:pt>
                <c:pt idx="10">
                  <c:v>18.8</c:v>
                </c:pt>
                <c:pt idx="11">
                  <c:v>17</c:v>
                </c:pt>
                <c:pt idx="12">
                  <c:v>19.2</c:v>
                </c:pt>
                <c:pt idx="13">
                  <c:v>17.600000000000001</c:v>
                </c:pt>
                <c:pt idx="14">
                  <c:v>18.8</c:v>
                </c:pt>
                <c:pt idx="15">
                  <c:v>16.8</c:v>
                </c:pt>
                <c:pt idx="16">
                  <c:v>18.8</c:v>
                </c:pt>
                <c:pt idx="17">
                  <c:v>16.8</c:v>
                </c:pt>
                <c:pt idx="18">
                  <c:v>18.2</c:v>
                </c:pt>
                <c:pt idx="19">
                  <c:v>16.399999999999999</c:v>
                </c:pt>
                <c:pt idx="20">
                  <c:v>18.8</c:v>
                </c:pt>
                <c:pt idx="21">
                  <c:v>16.399999999999999</c:v>
                </c:pt>
                <c:pt idx="22">
                  <c:v>18.100000000000001</c:v>
                </c:pt>
                <c:pt idx="23">
                  <c:v>16.399999999999999</c:v>
                </c:pt>
                <c:pt idx="24">
                  <c:v>18.5</c:v>
                </c:pt>
                <c:pt idx="25">
                  <c:v>16.5</c:v>
                </c:pt>
                <c:pt idx="26">
                  <c:v>18.100000000000001</c:v>
                </c:pt>
                <c:pt idx="27">
                  <c:v>16.399999999999999</c:v>
                </c:pt>
                <c:pt idx="28">
                  <c:v>18.8</c:v>
                </c:pt>
                <c:pt idx="29">
                  <c:v>16.8</c:v>
                </c:pt>
              </c:numCache>
            </c:numRef>
          </c:yVal>
          <c:smooth val="0"/>
          <c:extLst>
            <c:ext xmlns:c16="http://schemas.microsoft.com/office/drawing/2014/chart" uri="{C3380CC4-5D6E-409C-BE32-E72D297353CC}">
              <c16:uniqueId val="{00000000-DB5B-4F18-AC94-FF8D738E0F7C}"/>
            </c:ext>
          </c:extLst>
        </c:ser>
        <c:dLbls>
          <c:showLegendKey val="0"/>
          <c:showVal val="0"/>
          <c:showCatName val="0"/>
          <c:showSerName val="0"/>
          <c:showPercent val="0"/>
          <c:showBubbleSize val="0"/>
        </c:dLbls>
        <c:axId val="334794320"/>
        <c:axId val="334796672"/>
      </c:scatterChart>
      <c:valAx>
        <c:axId val="33479432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Time (days)</a:t>
                </a:r>
              </a:p>
            </c:rich>
          </c:tx>
          <c:layout>
            <c:manualLayout>
              <c:xMode val="edge"/>
              <c:yMode val="edge"/>
              <c:x val="0.46035859328325729"/>
              <c:y val="0.9074105181296782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796672"/>
        <c:crosses val="autoZero"/>
        <c:crossBetween val="midCat"/>
      </c:valAx>
      <c:valAx>
        <c:axId val="334796672"/>
        <c:scaling>
          <c:orientation val="minMax"/>
          <c:min val="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Level (ft/gal)</a:t>
                </a:r>
              </a:p>
            </c:rich>
          </c:tx>
          <c:layout>
            <c:manualLayout>
              <c:xMode val="edge"/>
              <c:yMode val="edge"/>
              <c:x val="4.6035805626598467E-2"/>
              <c:y val="0.3666678331875186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794320"/>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Tank #9 Graph</a:t>
            </a:r>
          </a:p>
        </c:rich>
      </c:tx>
      <c:layout>
        <c:manualLayout>
          <c:xMode val="edge"/>
          <c:yMode val="edge"/>
          <c:x val="0.39641997435742643"/>
          <c:y val="3.7037037037037056E-2"/>
        </c:manualLayout>
      </c:layout>
      <c:overlay val="0"/>
      <c:spPr>
        <a:noFill/>
        <a:ln w="25400">
          <a:noFill/>
        </a:ln>
      </c:spPr>
    </c:title>
    <c:autoTitleDeleted val="0"/>
    <c:plotArea>
      <c:layout>
        <c:manualLayout>
          <c:layoutTarget val="inner"/>
          <c:xMode val="edge"/>
          <c:yMode val="edge"/>
          <c:x val="0.16368306885773271"/>
          <c:y val="0.17777842078421871"/>
          <c:w val="0.76726438527062157"/>
          <c:h val="0.64444677534279271"/>
        </c:manualLayout>
      </c:layout>
      <c:scatterChart>
        <c:scatterStyle val="lineMarker"/>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xVal>
            <c:strRef>
              <c:f>'Tank#9'!$H$18:$H$47</c:f>
              <c:strCache>
                <c:ptCount val="1"/>
                <c:pt idx="0">
                  <c:v>0.0</c:v>
                </c:pt>
              </c:strCache>
            </c:strRef>
          </c:xVal>
          <c:yVal>
            <c:numRef>
              <c:f>'Tank#9'!$R$18:$R$47</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0-C0CE-4994-BFEB-5958230FAB50}"/>
            </c:ext>
          </c:extLst>
        </c:ser>
        <c:dLbls>
          <c:showLegendKey val="0"/>
          <c:showVal val="0"/>
          <c:showCatName val="0"/>
          <c:showSerName val="0"/>
          <c:showPercent val="0"/>
          <c:showBubbleSize val="0"/>
        </c:dLbls>
        <c:axId val="334794320"/>
        <c:axId val="334796672"/>
      </c:scatterChart>
      <c:valAx>
        <c:axId val="33479432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Time (days)</a:t>
                </a:r>
              </a:p>
            </c:rich>
          </c:tx>
          <c:layout>
            <c:manualLayout>
              <c:xMode val="edge"/>
              <c:yMode val="edge"/>
              <c:x val="0.46035859328325729"/>
              <c:y val="0.9074105181296782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796672"/>
        <c:crosses val="autoZero"/>
        <c:crossBetween val="midCat"/>
      </c:valAx>
      <c:valAx>
        <c:axId val="334796672"/>
        <c:scaling>
          <c:orientation val="minMax"/>
          <c:min val="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Level (ft/gal)</a:t>
                </a:r>
              </a:p>
            </c:rich>
          </c:tx>
          <c:layout>
            <c:manualLayout>
              <c:xMode val="edge"/>
              <c:yMode val="edge"/>
              <c:x val="4.6035805626598467E-2"/>
              <c:y val="0.3666678331875186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794320"/>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96932626966571"/>
          <c:y val="4.2787278599644707E-2"/>
          <c:w val="0.78989015960200282"/>
          <c:h val="0.86901739612877626"/>
        </c:manualLayout>
      </c:layout>
      <c:scatterChart>
        <c:scatterStyle val="lineMarker"/>
        <c:varyColors val="0"/>
        <c:ser>
          <c:idx val="0"/>
          <c:order val="0"/>
          <c:tx>
            <c:strRef>
              <c:f>'Data Considerations'!$D$23</c:f>
              <c:strCache>
                <c:ptCount val="1"/>
                <c:pt idx="0">
                  <c:v>Volume
(gal)</c:v>
                </c:pt>
              </c:strCache>
            </c:strRef>
          </c:tx>
          <c:spPr>
            <a:ln w="28575">
              <a:noFill/>
            </a:ln>
          </c:spPr>
          <c:marker>
            <c:symbol val="diamond"/>
            <c:size val="5"/>
            <c:spPr>
              <a:solidFill>
                <a:srgbClr val="000080"/>
              </a:solidFill>
              <a:ln>
                <a:solidFill>
                  <a:srgbClr val="000080"/>
                </a:solidFill>
                <a:prstDash val="solid"/>
              </a:ln>
            </c:spPr>
          </c:marker>
          <c:trendline>
            <c:spPr>
              <a:ln w="19050">
                <a:solidFill>
                  <a:srgbClr val="000000"/>
                </a:solidFill>
              </a:ln>
            </c:spPr>
            <c:trendlineType val="linear"/>
            <c:dispRSqr val="0"/>
            <c:dispEq val="1"/>
            <c:trendlineLbl>
              <c:layout>
                <c:manualLayout>
                  <c:x val="-4.1331083614548215E-2"/>
                  <c:y val="-2.8975275149429883E-2"/>
                </c:manualLayout>
              </c:layout>
              <c:tx>
                <c:rich>
                  <a:bodyPr/>
                  <a:lstStyle/>
                  <a:p>
                    <a:pPr>
                      <a:defRPr sz="1000"/>
                    </a:pPr>
                    <a:r>
                      <a:rPr lang="en-US" i="1" baseline="0"/>
                      <a:t>Volume = 29835 x Tank Level - 81938</a:t>
                    </a:r>
                    <a:endParaRPr lang="en-US" i="1"/>
                  </a:p>
                </c:rich>
              </c:tx>
              <c:numFmt formatCode="General" sourceLinked="0"/>
            </c:trendlineLbl>
          </c:trendline>
          <c:xVal>
            <c:numRef>
              <c:f>'Data Considerations'!$C$24:$C$48</c:f>
              <c:numCache>
                <c:formatCode>General</c:formatCode>
                <c:ptCount val="25"/>
                <c:pt idx="0">
                  <c:v>38</c:v>
                </c:pt>
                <c:pt idx="1">
                  <c:v>37</c:v>
                </c:pt>
                <c:pt idx="2">
                  <c:v>36</c:v>
                </c:pt>
                <c:pt idx="3">
                  <c:v>35</c:v>
                </c:pt>
                <c:pt idx="4">
                  <c:v>34</c:v>
                </c:pt>
                <c:pt idx="5">
                  <c:v>33</c:v>
                </c:pt>
                <c:pt idx="6">
                  <c:v>32</c:v>
                </c:pt>
                <c:pt idx="7">
                  <c:v>31</c:v>
                </c:pt>
                <c:pt idx="8">
                  <c:v>30</c:v>
                </c:pt>
                <c:pt idx="9">
                  <c:v>29</c:v>
                </c:pt>
                <c:pt idx="10">
                  <c:v>28</c:v>
                </c:pt>
                <c:pt idx="11">
                  <c:v>27</c:v>
                </c:pt>
                <c:pt idx="12">
                  <c:v>26</c:v>
                </c:pt>
                <c:pt idx="13">
                  <c:v>25</c:v>
                </c:pt>
                <c:pt idx="14">
                  <c:v>24</c:v>
                </c:pt>
                <c:pt idx="15">
                  <c:v>23</c:v>
                </c:pt>
                <c:pt idx="16">
                  <c:v>22</c:v>
                </c:pt>
                <c:pt idx="17">
                  <c:v>21</c:v>
                </c:pt>
                <c:pt idx="18">
                  <c:v>20</c:v>
                </c:pt>
                <c:pt idx="19">
                  <c:v>19</c:v>
                </c:pt>
                <c:pt idx="20">
                  <c:v>18</c:v>
                </c:pt>
                <c:pt idx="21">
                  <c:v>17</c:v>
                </c:pt>
                <c:pt idx="22">
                  <c:v>16</c:v>
                </c:pt>
                <c:pt idx="23">
                  <c:v>15</c:v>
                </c:pt>
                <c:pt idx="24">
                  <c:v>14</c:v>
                </c:pt>
              </c:numCache>
            </c:numRef>
          </c:xVal>
          <c:yVal>
            <c:numRef>
              <c:f>'Data Considerations'!$D$24:$D$48</c:f>
              <c:numCache>
                <c:formatCode>_(* #,##0_);_(* \(#,##0\);_(* "-"??_);_(@_)</c:formatCode>
                <c:ptCount val="25"/>
                <c:pt idx="0">
                  <c:v>1000000</c:v>
                </c:pt>
                <c:pt idx="1">
                  <c:v>998854</c:v>
                </c:pt>
                <c:pt idx="2">
                  <c:v>979744</c:v>
                </c:pt>
                <c:pt idx="3">
                  <c:v>958591</c:v>
                </c:pt>
                <c:pt idx="4">
                  <c:v>935672</c:v>
                </c:pt>
                <c:pt idx="5">
                  <c:v>911199</c:v>
                </c:pt>
                <c:pt idx="6">
                  <c:v>885347</c:v>
                </c:pt>
                <c:pt idx="7">
                  <c:v>858267</c:v>
                </c:pt>
                <c:pt idx="8">
                  <c:v>830096</c:v>
                </c:pt>
                <c:pt idx="9">
                  <c:v>800952</c:v>
                </c:pt>
                <c:pt idx="10">
                  <c:v>770967</c:v>
                </c:pt>
                <c:pt idx="11">
                  <c:v>740244</c:v>
                </c:pt>
                <c:pt idx="12">
                  <c:v>708889</c:v>
                </c:pt>
                <c:pt idx="13">
                  <c:v>677005</c:v>
                </c:pt>
                <c:pt idx="14">
                  <c:v>644691</c:v>
                </c:pt>
                <c:pt idx="15">
                  <c:v>612045</c:v>
                </c:pt>
                <c:pt idx="16">
                  <c:v>579163</c:v>
                </c:pt>
                <c:pt idx="17">
                  <c:v>546139</c:v>
                </c:pt>
                <c:pt idx="18">
                  <c:v>513068</c:v>
                </c:pt>
                <c:pt idx="19">
                  <c:v>480044</c:v>
                </c:pt>
                <c:pt idx="20">
                  <c:v>447162</c:v>
                </c:pt>
                <c:pt idx="21">
                  <c:v>414516</c:v>
                </c:pt>
                <c:pt idx="22">
                  <c:v>382202</c:v>
                </c:pt>
                <c:pt idx="23">
                  <c:v>350318</c:v>
                </c:pt>
                <c:pt idx="24">
                  <c:v>318963</c:v>
                </c:pt>
              </c:numCache>
            </c:numRef>
          </c:yVal>
          <c:smooth val="0"/>
          <c:extLst>
            <c:ext xmlns:c16="http://schemas.microsoft.com/office/drawing/2014/chart" uri="{C3380CC4-5D6E-409C-BE32-E72D297353CC}">
              <c16:uniqueId val="{00000001-B800-4C78-B480-F7B643003EC4}"/>
            </c:ext>
          </c:extLst>
        </c:ser>
        <c:dLbls>
          <c:showLegendKey val="0"/>
          <c:showVal val="0"/>
          <c:showCatName val="0"/>
          <c:showSerName val="0"/>
          <c:showPercent val="0"/>
          <c:showBubbleSize val="0"/>
        </c:dLbls>
        <c:axId val="333684720"/>
        <c:axId val="332528264"/>
      </c:scatterChart>
      <c:valAx>
        <c:axId val="333684720"/>
        <c:scaling>
          <c:orientation val="minMax"/>
          <c:min val="10"/>
        </c:scaling>
        <c:delete val="0"/>
        <c:axPos val="b"/>
        <c:title>
          <c:tx>
            <c:rich>
              <a:bodyPr/>
              <a:lstStyle/>
              <a:p>
                <a:pPr>
                  <a:defRPr sz="800" b="1" i="0" u="none" strike="noStrike" baseline="0">
                    <a:solidFill>
                      <a:srgbClr val="000000"/>
                    </a:solidFill>
                    <a:latin typeface="Arial"/>
                    <a:ea typeface="Arial"/>
                    <a:cs typeface="Arial"/>
                  </a:defRPr>
                </a:pPr>
                <a:r>
                  <a:rPr lang="en-US"/>
                  <a:t>Tank Level (ft)</a:t>
                </a:r>
              </a:p>
            </c:rich>
          </c:tx>
          <c:layout>
            <c:manualLayout>
              <c:xMode val="edge"/>
              <c:yMode val="edge"/>
              <c:x val="0.44258849290385505"/>
              <c:y val="0.962011989185678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2528264"/>
        <c:crosses val="autoZero"/>
        <c:crossBetween val="midCat"/>
      </c:valAx>
      <c:valAx>
        <c:axId val="33252826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Volume (gallons)</a:t>
                </a:r>
              </a:p>
            </c:rich>
          </c:tx>
          <c:layout>
            <c:manualLayout>
              <c:xMode val="edge"/>
              <c:yMode val="edge"/>
              <c:x val="9.0029981110167669E-3"/>
              <c:y val="0.34275387930439932"/>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684720"/>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166994750656266E-2"/>
          <c:y val="0.1245480535405516"/>
          <c:w val="0.85020250072907555"/>
          <c:h val="0.73742534151734951"/>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trendline>
            <c:spPr>
              <a:ln w="19050"/>
            </c:spPr>
            <c:trendlineType val="linear"/>
            <c:dispRSqr val="0"/>
            <c:dispEq val="1"/>
            <c:trendlineLbl>
              <c:layout>
                <c:manualLayout>
                  <c:x val="-0.12524752114319043"/>
                  <c:y val="9.7975253093363322E-3"/>
                </c:manualLayout>
              </c:layout>
              <c:tx>
                <c:rich>
                  <a:bodyPr/>
                  <a:lstStyle/>
                  <a:p>
                    <a:pPr>
                      <a:defRPr sz="1000" i="1"/>
                    </a:pPr>
                    <a:r>
                      <a:rPr lang="en-US" baseline="0"/>
                      <a:t>Tank Level = 2.4074 x Pressure - 121.26</a:t>
                    </a:r>
                    <a:endParaRPr lang="en-US"/>
                  </a:p>
                </c:rich>
              </c:tx>
              <c:numFmt formatCode="General" sourceLinked="0"/>
            </c:trendlineLbl>
          </c:trendline>
          <c:xVal>
            <c:numRef>
              <c:f>'Data Considerations'!$G$81:$G$82</c:f>
              <c:numCache>
                <c:formatCode>0.0</c:formatCode>
                <c:ptCount val="2"/>
                <c:pt idx="0">
                  <c:v>62</c:v>
                </c:pt>
                <c:pt idx="1">
                  <c:v>56.6</c:v>
                </c:pt>
              </c:numCache>
            </c:numRef>
          </c:xVal>
          <c:yVal>
            <c:numRef>
              <c:f>'Data Considerations'!$H$81:$H$82</c:f>
              <c:numCache>
                <c:formatCode>0.0</c:formatCode>
                <c:ptCount val="2"/>
                <c:pt idx="0">
                  <c:v>28</c:v>
                </c:pt>
                <c:pt idx="1">
                  <c:v>15</c:v>
                </c:pt>
              </c:numCache>
            </c:numRef>
          </c:yVal>
          <c:smooth val="0"/>
          <c:extLst>
            <c:ext xmlns:c16="http://schemas.microsoft.com/office/drawing/2014/chart" uri="{C3380CC4-5D6E-409C-BE32-E72D297353CC}">
              <c16:uniqueId val="{00000001-A75C-4AC4-A4C2-4D2FD013C5FC}"/>
            </c:ext>
          </c:extLst>
        </c:ser>
        <c:dLbls>
          <c:showLegendKey val="0"/>
          <c:showVal val="0"/>
          <c:showCatName val="0"/>
          <c:showSerName val="0"/>
          <c:showPercent val="0"/>
          <c:showBubbleSize val="0"/>
        </c:dLbls>
        <c:axId val="332527480"/>
        <c:axId val="333266344"/>
      </c:scatterChart>
      <c:valAx>
        <c:axId val="332527480"/>
        <c:scaling>
          <c:orientation val="minMax"/>
          <c:min val="10"/>
        </c:scaling>
        <c:delete val="0"/>
        <c:axPos val="b"/>
        <c:title>
          <c:tx>
            <c:rich>
              <a:bodyPr/>
              <a:lstStyle/>
              <a:p>
                <a:pPr>
                  <a:defRPr sz="800" b="1" i="0" u="none" strike="noStrike" baseline="0">
                    <a:solidFill>
                      <a:srgbClr val="000000"/>
                    </a:solidFill>
                    <a:latin typeface="Arial"/>
                    <a:ea typeface="Arial"/>
                    <a:cs typeface="Arial"/>
                  </a:defRPr>
                </a:pPr>
                <a:r>
                  <a:rPr lang="en-US"/>
                  <a:t>Pressure (psi)</a:t>
                </a:r>
              </a:p>
            </c:rich>
          </c:tx>
          <c:layout>
            <c:manualLayout>
              <c:xMode val="edge"/>
              <c:yMode val="edge"/>
              <c:x val="0.46341754155730536"/>
              <c:y val="0.9226274274770779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3266344"/>
        <c:crosses val="autoZero"/>
        <c:crossBetween val="midCat"/>
      </c:valAx>
      <c:valAx>
        <c:axId val="33326634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Tank Level (ft)</a:t>
                </a:r>
              </a:p>
            </c:rich>
          </c:tx>
          <c:layout>
            <c:manualLayout>
              <c:xMode val="edge"/>
              <c:yMode val="edge"/>
              <c:x val="1.7444225721784782E-2"/>
              <c:y val="0.36937992987097146"/>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2527480"/>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Tank #1 Graph</a:t>
            </a:r>
          </a:p>
        </c:rich>
      </c:tx>
      <c:layout>
        <c:manualLayout>
          <c:xMode val="edge"/>
          <c:yMode val="edge"/>
          <c:x val="0.39641997435742643"/>
          <c:y val="3.7037037037037056E-2"/>
        </c:manualLayout>
      </c:layout>
      <c:overlay val="0"/>
      <c:spPr>
        <a:noFill/>
        <a:ln w="25400">
          <a:noFill/>
        </a:ln>
      </c:spPr>
    </c:title>
    <c:autoTitleDeleted val="0"/>
    <c:plotArea>
      <c:layout>
        <c:manualLayout>
          <c:layoutTarget val="inner"/>
          <c:xMode val="edge"/>
          <c:yMode val="edge"/>
          <c:x val="0.16368306885773271"/>
          <c:y val="0.17777842078421871"/>
          <c:w val="0.76726438527062157"/>
          <c:h val="0.64444677534279271"/>
        </c:manualLayout>
      </c:layout>
      <c:scatterChart>
        <c:scatterStyle val="lineMarker"/>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xVal>
            <c:strRef>
              <c:f>'Tank#1'!$H$18:$H$47</c:f>
              <c:strCache>
                <c:ptCount val="1"/>
                <c:pt idx="0">
                  <c:v>0.0</c:v>
                </c:pt>
              </c:strCache>
            </c:strRef>
          </c:xVal>
          <c:yVal>
            <c:numRef>
              <c:f>'Tank#1'!$R$18:$R$47</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0-BA12-4BCC-BAD6-BBAD4A86CFFA}"/>
            </c:ext>
          </c:extLst>
        </c:ser>
        <c:dLbls>
          <c:showLegendKey val="0"/>
          <c:showVal val="0"/>
          <c:showCatName val="0"/>
          <c:showSerName val="0"/>
          <c:showPercent val="0"/>
          <c:showBubbleSize val="0"/>
        </c:dLbls>
        <c:axId val="334794320"/>
        <c:axId val="334796672"/>
      </c:scatterChart>
      <c:valAx>
        <c:axId val="33479432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Time (days)</a:t>
                </a:r>
              </a:p>
            </c:rich>
          </c:tx>
          <c:layout>
            <c:manualLayout>
              <c:xMode val="edge"/>
              <c:yMode val="edge"/>
              <c:x val="0.46035859328325729"/>
              <c:y val="0.9074105181296782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796672"/>
        <c:crosses val="autoZero"/>
        <c:crossBetween val="midCat"/>
      </c:valAx>
      <c:valAx>
        <c:axId val="334796672"/>
        <c:scaling>
          <c:orientation val="minMax"/>
          <c:min val="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Level (ft/gal)</a:t>
                </a:r>
              </a:p>
            </c:rich>
          </c:tx>
          <c:layout>
            <c:manualLayout>
              <c:xMode val="edge"/>
              <c:yMode val="edge"/>
              <c:x val="4.6035805626598467E-2"/>
              <c:y val="0.3666678331875186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794320"/>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Tank</a:t>
            </a:r>
            <a:r>
              <a:rPr lang="en-US" baseline="0"/>
              <a:t> #2</a:t>
            </a:r>
            <a:r>
              <a:rPr lang="en-US"/>
              <a:t> Graph</a:t>
            </a:r>
          </a:p>
        </c:rich>
      </c:tx>
      <c:layout>
        <c:manualLayout>
          <c:xMode val="edge"/>
          <c:yMode val="edge"/>
          <c:x val="0.39641997435742643"/>
          <c:y val="3.7037037037037056E-2"/>
        </c:manualLayout>
      </c:layout>
      <c:overlay val="0"/>
      <c:spPr>
        <a:noFill/>
        <a:ln w="25400">
          <a:noFill/>
        </a:ln>
      </c:spPr>
    </c:title>
    <c:autoTitleDeleted val="0"/>
    <c:plotArea>
      <c:layout>
        <c:manualLayout>
          <c:layoutTarget val="inner"/>
          <c:xMode val="edge"/>
          <c:yMode val="edge"/>
          <c:x val="0.16368306885773271"/>
          <c:y val="0.17777842078421871"/>
          <c:w val="0.76726438527062157"/>
          <c:h val="0.64444677534279271"/>
        </c:manualLayout>
      </c:layout>
      <c:scatterChart>
        <c:scatterStyle val="lineMarker"/>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xVal>
            <c:strRef>
              <c:f>'Tank#2'!$H$18:$H$47</c:f>
              <c:strCache>
                <c:ptCount val="1"/>
                <c:pt idx="0">
                  <c:v>0.0</c:v>
                </c:pt>
              </c:strCache>
            </c:strRef>
          </c:xVal>
          <c:yVal>
            <c:numRef>
              <c:f>'Tank#2'!$R$18:$R$47</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0-F03B-42B1-A76F-B82AD7D84E42}"/>
            </c:ext>
          </c:extLst>
        </c:ser>
        <c:dLbls>
          <c:showLegendKey val="0"/>
          <c:showVal val="0"/>
          <c:showCatName val="0"/>
          <c:showSerName val="0"/>
          <c:showPercent val="0"/>
          <c:showBubbleSize val="0"/>
        </c:dLbls>
        <c:axId val="334794320"/>
        <c:axId val="334796672"/>
      </c:scatterChart>
      <c:valAx>
        <c:axId val="33479432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Time (days)</a:t>
                </a:r>
              </a:p>
            </c:rich>
          </c:tx>
          <c:layout>
            <c:manualLayout>
              <c:xMode val="edge"/>
              <c:yMode val="edge"/>
              <c:x val="0.46035859328325729"/>
              <c:y val="0.9074105181296782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796672"/>
        <c:crosses val="autoZero"/>
        <c:crossBetween val="midCat"/>
      </c:valAx>
      <c:valAx>
        <c:axId val="334796672"/>
        <c:scaling>
          <c:orientation val="minMax"/>
          <c:min val="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Level (ft/gal)</a:t>
                </a:r>
              </a:p>
            </c:rich>
          </c:tx>
          <c:layout>
            <c:manualLayout>
              <c:xMode val="edge"/>
              <c:yMode val="edge"/>
              <c:x val="4.6035805626598467E-2"/>
              <c:y val="0.3666678331875186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794320"/>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Tank #3 Graph</a:t>
            </a:r>
          </a:p>
        </c:rich>
      </c:tx>
      <c:layout>
        <c:manualLayout>
          <c:xMode val="edge"/>
          <c:yMode val="edge"/>
          <c:x val="0.39641997435742643"/>
          <c:y val="3.7037037037037056E-2"/>
        </c:manualLayout>
      </c:layout>
      <c:overlay val="0"/>
      <c:spPr>
        <a:noFill/>
        <a:ln w="25400">
          <a:noFill/>
        </a:ln>
      </c:spPr>
    </c:title>
    <c:autoTitleDeleted val="0"/>
    <c:plotArea>
      <c:layout>
        <c:manualLayout>
          <c:layoutTarget val="inner"/>
          <c:xMode val="edge"/>
          <c:yMode val="edge"/>
          <c:x val="0.16368306885773271"/>
          <c:y val="0.17777842078421871"/>
          <c:w val="0.76726438527062157"/>
          <c:h val="0.64444677534279271"/>
        </c:manualLayout>
      </c:layout>
      <c:scatterChart>
        <c:scatterStyle val="lineMarker"/>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xVal>
            <c:strRef>
              <c:f>'Tank#3'!$H$18:$H$47</c:f>
              <c:strCache>
                <c:ptCount val="1"/>
                <c:pt idx="0">
                  <c:v>0.0</c:v>
                </c:pt>
              </c:strCache>
            </c:strRef>
          </c:xVal>
          <c:yVal>
            <c:numRef>
              <c:f>'Tank#3'!$R$18:$R$47</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0-FD87-42A6-9878-35E1AF0F9D60}"/>
            </c:ext>
          </c:extLst>
        </c:ser>
        <c:dLbls>
          <c:showLegendKey val="0"/>
          <c:showVal val="0"/>
          <c:showCatName val="0"/>
          <c:showSerName val="0"/>
          <c:showPercent val="0"/>
          <c:showBubbleSize val="0"/>
        </c:dLbls>
        <c:axId val="334794320"/>
        <c:axId val="334796672"/>
      </c:scatterChart>
      <c:valAx>
        <c:axId val="33479432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Time (days)</a:t>
                </a:r>
              </a:p>
            </c:rich>
          </c:tx>
          <c:layout>
            <c:manualLayout>
              <c:xMode val="edge"/>
              <c:yMode val="edge"/>
              <c:x val="0.46035859328325729"/>
              <c:y val="0.9074105181296782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796672"/>
        <c:crosses val="autoZero"/>
        <c:crossBetween val="midCat"/>
      </c:valAx>
      <c:valAx>
        <c:axId val="334796672"/>
        <c:scaling>
          <c:orientation val="minMax"/>
          <c:min val="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Level (ft/gal)</a:t>
                </a:r>
              </a:p>
            </c:rich>
          </c:tx>
          <c:layout>
            <c:manualLayout>
              <c:xMode val="edge"/>
              <c:yMode val="edge"/>
              <c:x val="4.6035805626598467E-2"/>
              <c:y val="0.3666678331875186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794320"/>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Tank #4 Graph</a:t>
            </a:r>
          </a:p>
        </c:rich>
      </c:tx>
      <c:layout>
        <c:manualLayout>
          <c:xMode val="edge"/>
          <c:yMode val="edge"/>
          <c:x val="0.39641997435742643"/>
          <c:y val="3.7037037037037056E-2"/>
        </c:manualLayout>
      </c:layout>
      <c:overlay val="0"/>
      <c:spPr>
        <a:noFill/>
        <a:ln w="25400">
          <a:noFill/>
        </a:ln>
      </c:spPr>
    </c:title>
    <c:autoTitleDeleted val="0"/>
    <c:plotArea>
      <c:layout>
        <c:manualLayout>
          <c:layoutTarget val="inner"/>
          <c:xMode val="edge"/>
          <c:yMode val="edge"/>
          <c:x val="0.16368306885773271"/>
          <c:y val="0.17777842078421871"/>
          <c:w val="0.76726438527062157"/>
          <c:h val="0.64444677534279271"/>
        </c:manualLayout>
      </c:layout>
      <c:scatterChart>
        <c:scatterStyle val="lineMarker"/>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xVal>
            <c:strRef>
              <c:f>'Tank#4'!$H$18:$H$47</c:f>
              <c:strCache>
                <c:ptCount val="1"/>
                <c:pt idx="0">
                  <c:v>0.0</c:v>
                </c:pt>
              </c:strCache>
            </c:strRef>
          </c:xVal>
          <c:yVal>
            <c:numRef>
              <c:f>'Tank#4'!$R$18:$R$47</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0-24EB-4B00-A503-0C28C18EC3B1}"/>
            </c:ext>
          </c:extLst>
        </c:ser>
        <c:dLbls>
          <c:showLegendKey val="0"/>
          <c:showVal val="0"/>
          <c:showCatName val="0"/>
          <c:showSerName val="0"/>
          <c:showPercent val="0"/>
          <c:showBubbleSize val="0"/>
        </c:dLbls>
        <c:axId val="334794320"/>
        <c:axId val="334796672"/>
      </c:scatterChart>
      <c:valAx>
        <c:axId val="33479432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Time (days)</a:t>
                </a:r>
              </a:p>
            </c:rich>
          </c:tx>
          <c:layout>
            <c:manualLayout>
              <c:xMode val="edge"/>
              <c:yMode val="edge"/>
              <c:x val="0.46035859328325729"/>
              <c:y val="0.9074105181296782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796672"/>
        <c:crosses val="autoZero"/>
        <c:crossBetween val="midCat"/>
      </c:valAx>
      <c:valAx>
        <c:axId val="334796672"/>
        <c:scaling>
          <c:orientation val="minMax"/>
          <c:min val="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Level (ft/gal)</a:t>
                </a:r>
              </a:p>
            </c:rich>
          </c:tx>
          <c:layout>
            <c:manualLayout>
              <c:xMode val="edge"/>
              <c:yMode val="edge"/>
              <c:x val="4.6035805626598467E-2"/>
              <c:y val="0.3666678331875186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794320"/>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Tank #5 Graph</a:t>
            </a:r>
          </a:p>
        </c:rich>
      </c:tx>
      <c:layout>
        <c:manualLayout>
          <c:xMode val="edge"/>
          <c:yMode val="edge"/>
          <c:x val="0.39641997435742643"/>
          <c:y val="3.7037037037037056E-2"/>
        </c:manualLayout>
      </c:layout>
      <c:overlay val="0"/>
      <c:spPr>
        <a:noFill/>
        <a:ln w="25400">
          <a:noFill/>
        </a:ln>
      </c:spPr>
    </c:title>
    <c:autoTitleDeleted val="0"/>
    <c:plotArea>
      <c:layout>
        <c:manualLayout>
          <c:layoutTarget val="inner"/>
          <c:xMode val="edge"/>
          <c:yMode val="edge"/>
          <c:x val="0.16368306885773271"/>
          <c:y val="0.17777842078421871"/>
          <c:w val="0.76726438527062157"/>
          <c:h val="0.64444677534279271"/>
        </c:manualLayout>
      </c:layout>
      <c:scatterChart>
        <c:scatterStyle val="lineMarker"/>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xVal>
            <c:strRef>
              <c:f>'Tank#5'!$H$18:$H$47</c:f>
              <c:strCache>
                <c:ptCount val="1"/>
                <c:pt idx="0">
                  <c:v>0.0</c:v>
                </c:pt>
              </c:strCache>
            </c:strRef>
          </c:xVal>
          <c:yVal>
            <c:numRef>
              <c:f>'Tank#5'!$R$18:$R$47</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0-6254-4239-A743-3BD4934D0AA6}"/>
            </c:ext>
          </c:extLst>
        </c:ser>
        <c:dLbls>
          <c:showLegendKey val="0"/>
          <c:showVal val="0"/>
          <c:showCatName val="0"/>
          <c:showSerName val="0"/>
          <c:showPercent val="0"/>
          <c:showBubbleSize val="0"/>
        </c:dLbls>
        <c:axId val="334794320"/>
        <c:axId val="334796672"/>
      </c:scatterChart>
      <c:valAx>
        <c:axId val="33479432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Time (days)</a:t>
                </a:r>
              </a:p>
            </c:rich>
          </c:tx>
          <c:layout>
            <c:manualLayout>
              <c:xMode val="edge"/>
              <c:yMode val="edge"/>
              <c:x val="0.46035859328325729"/>
              <c:y val="0.9074105181296782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796672"/>
        <c:crosses val="autoZero"/>
        <c:crossBetween val="midCat"/>
      </c:valAx>
      <c:valAx>
        <c:axId val="334796672"/>
        <c:scaling>
          <c:orientation val="minMax"/>
          <c:min val="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Level (ft/gal)</a:t>
                </a:r>
              </a:p>
            </c:rich>
          </c:tx>
          <c:layout>
            <c:manualLayout>
              <c:xMode val="edge"/>
              <c:yMode val="edge"/>
              <c:x val="4.6035805626598467E-2"/>
              <c:y val="0.3666678331875186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794320"/>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Tank #6 Graph</a:t>
            </a:r>
          </a:p>
        </c:rich>
      </c:tx>
      <c:layout>
        <c:manualLayout>
          <c:xMode val="edge"/>
          <c:yMode val="edge"/>
          <c:x val="0.39641997435742643"/>
          <c:y val="3.7037037037037056E-2"/>
        </c:manualLayout>
      </c:layout>
      <c:overlay val="0"/>
      <c:spPr>
        <a:noFill/>
        <a:ln w="25400">
          <a:noFill/>
        </a:ln>
      </c:spPr>
    </c:title>
    <c:autoTitleDeleted val="0"/>
    <c:plotArea>
      <c:layout>
        <c:manualLayout>
          <c:layoutTarget val="inner"/>
          <c:xMode val="edge"/>
          <c:yMode val="edge"/>
          <c:x val="0.16368306885773271"/>
          <c:y val="0.17777842078421871"/>
          <c:w val="0.76726438527062157"/>
          <c:h val="0.64444677534279271"/>
        </c:manualLayout>
      </c:layout>
      <c:scatterChart>
        <c:scatterStyle val="lineMarker"/>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xVal>
            <c:strRef>
              <c:f>'Tank#6'!$H$18:$H$47</c:f>
              <c:strCache>
                <c:ptCount val="1"/>
                <c:pt idx="0">
                  <c:v>0.0</c:v>
                </c:pt>
              </c:strCache>
            </c:strRef>
          </c:xVal>
          <c:yVal>
            <c:numRef>
              <c:f>'Tank#6'!$R$18:$R$47</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0-8F19-4D79-B956-4819FA08CAF7}"/>
            </c:ext>
          </c:extLst>
        </c:ser>
        <c:dLbls>
          <c:showLegendKey val="0"/>
          <c:showVal val="0"/>
          <c:showCatName val="0"/>
          <c:showSerName val="0"/>
          <c:showPercent val="0"/>
          <c:showBubbleSize val="0"/>
        </c:dLbls>
        <c:axId val="334794320"/>
        <c:axId val="334796672"/>
      </c:scatterChart>
      <c:valAx>
        <c:axId val="33479432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Time (days)</a:t>
                </a:r>
              </a:p>
            </c:rich>
          </c:tx>
          <c:layout>
            <c:manualLayout>
              <c:xMode val="edge"/>
              <c:yMode val="edge"/>
              <c:x val="0.46035859328325729"/>
              <c:y val="0.9074105181296782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796672"/>
        <c:crosses val="autoZero"/>
        <c:crossBetween val="midCat"/>
      </c:valAx>
      <c:valAx>
        <c:axId val="334796672"/>
        <c:scaling>
          <c:orientation val="minMax"/>
          <c:min val="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Level (ft/gal)</a:t>
                </a:r>
              </a:p>
            </c:rich>
          </c:tx>
          <c:layout>
            <c:manualLayout>
              <c:xMode val="edge"/>
              <c:yMode val="edge"/>
              <c:x val="4.6035805626598467E-2"/>
              <c:y val="0.3666678331875186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794320"/>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Tank #7 Graph</a:t>
            </a:r>
          </a:p>
        </c:rich>
      </c:tx>
      <c:layout>
        <c:manualLayout>
          <c:xMode val="edge"/>
          <c:yMode val="edge"/>
          <c:x val="0.39641997435742643"/>
          <c:y val="3.7037037037037056E-2"/>
        </c:manualLayout>
      </c:layout>
      <c:overlay val="0"/>
      <c:spPr>
        <a:noFill/>
        <a:ln w="25400">
          <a:noFill/>
        </a:ln>
      </c:spPr>
    </c:title>
    <c:autoTitleDeleted val="0"/>
    <c:plotArea>
      <c:layout>
        <c:manualLayout>
          <c:layoutTarget val="inner"/>
          <c:xMode val="edge"/>
          <c:yMode val="edge"/>
          <c:x val="0.16368306885773271"/>
          <c:y val="0.17777842078421871"/>
          <c:w val="0.76726438527062157"/>
          <c:h val="0.64444677534279271"/>
        </c:manualLayout>
      </c:layout>
      <c:scatterChart>
        <c:scatterStyle val="lineMarker"/>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xVal>
            <c:strRef>
              <c:f>'Tank#7'!$H$18:$H$47</c:f>
              <c:strCache>
                <c:ptCount val="1"/>
                <c:pt idx="0">
                  <c:v>0.0</c:v>
                </c:pt>
              </c:strCache>
            </c:strRef>
          </c:xVal>
          <c:yVal>
            <c:numRef>
              <c:f>'Tank#7'!$R$18:$R$47</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0-9954-457A-B70C-7CB352E37984}"/>
            </c:ext>
          </c:extLst>
        </c:ser>
        <c:dLbls>
          <c:showLegendKey val="0"/>
          <c:showVal val="0"/>
          <c:showCatName val="0"/>
          <c:showSerName val="0"/>
          <c:showPercent val="0"/>
          <c:showBubbleSize val="0"/>
        </c:dLbls>
        <c:axId val="334794320"/>
        <c:axId val="334796672"/>
      </c:scatterChart>
      <c:valAx>
        <c:axId val="33479432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Time (days)</a:t>
                </a:r>
              </a:p>
            </c:rich>
          </c:tx>
          <c:layout>
            <c:manualLayout>
              <c:xMode val="edge"/>
              <c:yMode val="edge"/>
              <c:x val="0.46035859328325729"/>
              <c:y val="0.9074105181296782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796672"/>
        <c:crosses val="autoZero"/>
        <c:crossBetween val="midCat"/>
      </c:valAx>
      <c:valAx>
        <c:axId val="334796672"/>
        <c:scaling>
          <c:orientation val="minMax"/>
          <c:min val="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Level (ft/gal)</a:t>
                </a:r>
              </a:p>
            </c:rich>
          </c:tx>
          <c:layout>
            <c:manualLayout>
              <c:xMode val="edge"/>
              <c:yMode val="edge"/>
              <c:x val="4.6035805626598467E-2"/>
              <c:y val="0.3666678331875186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794320"/>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Tank #8 Graph</a:t>
            </a:r>
          </a:p>
        </c:rich>
      </c:tx>
      <c:layout>
        <c:manualLayout>
          <c:xMode val="edge"/>
          <c:yMode val="edge"/>
          <c:x val="0.39641997435742643"/>
          <c:y val="3.7037037037037056E-2"/>
        </c:manualLayout>
      </c:layout>
      <c:overlay val="0"/>
      <c:spPr>
        <a:noFill/>
        <a:ln w="25400">
          <a:noFill/>
        </a:ln>
      </c:spPr>
    </c:title>
    <c:autoTitleDeleted val="0"/>
    <c:plotArea>
      <c:layout>
        <c:manualLayout>
          <c:layoutTarget val="inner"/>
          <c:xMode val="edge"/>
          <c:yMode val="edge"/>
          <c:x val="0.16368306885773271"/>
          <c:y val="0.17777842078421871"/>
          <c:w val="0.76726438527062157"/>
          <c:h val="0.64444677534279271"/>
        </c:manualLayout>
      </c:layout>
      <c:scatterChart>
        <c:scatterStyle val="lineMarker"/>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xVal>
            <c:strRef>
              <c:f>'Tank#8'!$H$18:$H$47</c:f>
              <c:strCache>
                <c:ptCount val="1"/>
                <c:pt idx="0">
                  <c:v>0.0</c:v>
                </c:pt>
              </c:strCache>
            </c:strRef>
          </c:xVal>
          <c:yVal>
            <c:numRef>
              <c:f>'Tank#8'!$R$18:$R$47</c:f>
              <c:numCache>
                <c:formatCode>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00-8609-40FA-BE7E-E3D4194FABA7}"/>
            </c:ext>
          </c:extLst>
        </c:ser>
        <c:dLbls>
          <c:showLegendKey val="0"/>
          <c:showVal val="0"/>
          <c:showCatName val="0"/>
          <c:showSerName val="0"/>
          <c:showPercent val="0"/>
          <c:showBubbleSize val="0"/>
        </c:dLbls>
        <c:axId val="334794320"/>
        <c:axId val="334796672"/>
      </c:scatterChart>
      <c:valAx>
        <c:axId val="33479432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Time (days)</a:t>
                </a:r>
              </a:p>
            </c:rich>
          </c:tx>
          <c:layout>
            <c:manualLayout>
              <c:xMode val="edge"/>
              <c:yMode val="edge"/>
              <c:x val="0.46035859328325729"/>
              <c:y val="0.9074105181296782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796672"/>
        <c:crosses val="autoZero"/>
        <c:crossBetween val="midCat"/>
      </c:valAx>
      <c:valAx>
        <c:axId val="334796672"/>
        <c:scaling>
          <c:orientation val="minMax"/>
          <c:min val="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Level (ft/gal)</a:t>
                </a:r>
              </a:p>
            </c:rich>
          </c:tx>
          <c:layout>
            <c:manualLayout>
              <c:xMode val="edge"/>
              <c:yMode val="edge"/>
              <c:x val="4.6035805626598467E-2"/>
              <c:y val="0.3666678331875186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794320"/>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image" Target="../media/image3.png"/><Relationship Id="rId4"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90488</xdr:colOff>
      <xdr:row>3</xdr:row>
      <xdr:rowOff>152399</xdr:rowOff>
    </xdr:from>
    <xdr:to>
      <xdr:col>8</xdr:col>
      <xdr:colOff>1433513</xdr:colOff>
      <xdr:row>12</xdr:row>
      <xdr:rowOff>185737</xdr:rowOff>
    </xdr:to>
    <xdr:graphicFrame macro="">
      <xdr:nvGraphicFramePr>
        <xdr:cNvPr id="45068" name="Chart 3" descr="graph showing the user-entered min and max level data over time">
          <a:extLst>
            <a:ext uri="{FF2B5EF4-FFF2-40B4-BE49-F238E27FC236}">
              <a16:creationId xmlns:a16="http://schemas.microsoft.com/office/drawing/2014/main" id="{00000000-0008-0000-0200-00000CB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dr:twoCellAnchor>
    <xdr:from>
      <xdr:col>6</xdr:col>
      <xdr:colOff>90488</xdr:colOff>
      <xdr:row>3</xdr:row>
      <xdr:rowOff>152399</xdr:rowOff>
    </xdr:from>
    <xdr:to>
      <xdr:col>8</xdr:col>
      <xdr:colOff>1433513</xdr:colOff>
      <xdr:row>12</xdr:row>
      <xdr:rowOff>185737</xdr:rowOff>
    </xdr:to>
    <xdr:graphicFrame macro="">
      <xdr:nvGraphicFramePr>
        <xdr:cNvPr id="2" name="Chart 3" descr="graph showing the user-entered min and max level data over time">
          <a:extLst>
            <a:ext uri="{FF2B5EF4-FFF2-40B4-BE49-F238E27FC236}">
              <a16:creationId xmlns:a16="http://schemas.microsoft.com/office/drawing/2014/main" id="{9CCBECEF-16FF-461C-99E0-EF0135EDCD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22</xdr:row>
      <xdr:rowOff>0</xdr:rowOff>
    </xdr:from>
    <xdr:to>
      <xdr:col>11</xdr:col>
      <xdr:colOff>0</xdr:colOff>
      <xdr:row>47</xdr:row>
      <xdr:rowOff>0</xdr:rowOff>
    </xdr:to>
    <xdr:graphicFrame macro="">
      <xdr:nvGraphicFramePr>
        <xdr:cNvPr id="8" name="Chart 1" descr="Graph of Volume (gallons) vs. Tank level (feet)">
          <a:extLst>
            <a:ext uri="{FF2B5EF4-FFF2-40B4-BE49-F238E27FC236}">
              <a16:creationId xmlns:a16="http://schemas.microsoft.com/office/drawing/2014/main" id="{00000000-0008-0000-0C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67235</xdr:colOff>
      <xdr:row>30</xdr:row>
      <xdr:rowOff>104775</xdr:rowOff>
    </xdr:from>
    <xdr:to>
      <xdr:col>11</xdr:col>
      <xdr:colOff>553010</xdr:colOff>
      <xdr:row>33</xdr:row>
      <xdr:rowOff>9525</xdr:rowOff>
    </xdr:to>
    <xdr:sp macro="" textlink="">
      <xdr:nvSpPr>
        <xdr:cNvPr id="9" name="AutoShape 2">
          <a:extLst>
            <a:ext uri="{FF2B5EF4-FFF2-40B4-BE49-F238E27FC236}">
              <a16:creationId xmlns:a16="http://schemas.microsoft.com/office/drawing/2014/main" id="{00000000-0008-0000-0C00-000009000000}"/>
            </a:ext>
            <a:ext uri="{C183D7F6-B498-43B3-948B-1728B52AA6E4}">
              <adec:decorative xmlns:adec="http://schemas.microsoft.com/office/drawing/2017/decorative" val="1"/>
            </a:ext>
          </a:extLst>
        </xdr:cNvPr>
        <xdr:cNvSpPr>
          <a:spLocks noChangeArrowheads="1"/>
        </xdr:cNvSpPr>
      </xdr:nvSpPr>
      <xdr:spPr bwMode="auto">
        <a:xfrm>
          <a:off x="6353735" y="4833657"/>
          <a:ext cx="485775" cy="375397"/>
        </a:xfrm>
        <a:prstGeom prst="rightArrow">
          <a:avLst>
            <a:gd name="adj1" fmla="val 50000"/>
            <a:gd name="adj2" fmla="val 26829"/>
          </a:avLst>
        </a:prstGeom>
        <a:solidFill>
          <a:srgbClr val="000000"/>
        </a:solidFill>
        <a:ln w="9525">
          <a:solidFill>
            <a:srgbClr val="000000"/>
          </a:solidFill>
          <a:miter lim="800000"/>
          <a:headEnd/>
          <a:tailEnd/>
        </a:ln>
      </xdr:spPr>
    </xdr:sp>
    <xdr:clientData/>
  </xdr:twoCellAnchor>
  <xdr:twoCellAnchor>
    <xdr:from>
      <xdr:col>9</xdr:col>
      <xdr:colOff>104775</xdr:colOff>
      <xdr:row>61</xdr:row>
      <xdr:rowOff>85725</xdr:rowOff>
    </xdr:from>
    <xdr:to>
      <xdr:col>9</xdr:col>
      <xdr:colOff>523875</xdr:colOff>
      <xdr:row>63</xdr:row>
      <xdr:rowOff>152400</xdr:rowOff>
    </xdr:to>
    <xdr:sp macro="" textlink="">
      <xdr:nvSpPr>
        <xdr:cNvPr id="10" name="AutoShape 8">
          <a:extLst>
            <a:ext uri="{FF2B5EF4-FFF2-40B4-BE49-F238E27FC236}">
              <a16:creationId xmlns:a16="http://schemas.microsoft.com/office/drawing/2014/main" id="{00000000-0008-0000-0C00-00000A000000}"/>
            </a:ext>
            <a:ext uri="{C183D7F6-B498-43B3-948B-1728B52AA6E4}">
              <adec:decorative xmlns:adec="http://schemas.microsoft.com/office/drawing/2017/decorative" val="1"/>
            </a:ext>
          </a:extLst>
        </xdr:cNvPr>
        <xdr:cNvSpPr>
          <a:spLocks noChangeArrowheads="1"/>
        </xdr:cNvSpPr>
      </xdr:nvSpPr>
      <xdr:spPr bwMode="auto">
        <a:xfrm>
          <a:off x="4552950" y="8886825"/>
          <a:ext cx="419100" cy="390525"/>
        </a:xfrm>
        <a:prstGeom prst="rightArrow">
          <a:avLst>
            <a:gd name="adj1" fmla="val 50000"/>
            <a:gd name="adj2" fmla="val 26829"/>
          </a:avLst>
        </a:prstGeom>
        <a:solidFill>
          <a:srgbClr val="000000"/>
        </a:solidFill>
        <a:ln w="9525">
          <a:solidFill>
            <a:srgbClr val="000000"/>
          </a:solidFill>
          <a:miter lim="800000"/>
          <a:headEnd/>
          <a:tailEnd/>
        </a:ln>
      </xdr:spPr>
    </xdr:sp>
    <xdr:clientData/>
  </xdr:twoCellAnchor>
  <xdr:twoCellAnchor>
    <xdr:from>
      <xdr:col>2</xdr:col>
      <xdr:colOff>0</xdr:colOff>
      <xdr:row>82</xdr:row>
      <xdr:rowOff>95251</xdr:rowOff>
    </xdr:from>
    <xdr:to>
      <xdr:col>11</xdr:col>
      <xdr:colOff>0</xdr:colOff>
      <xdr:row>104</xdr:row>
      <xdr:rowOff>1</xdr:rowOff>
    </xdr:to>
    <xdr:graphicFrame macro="">
      <xdr:nvGraphicFramePr>
        <xdr:cNvPr id="11" name="Chart 7" descr="shows the minimum and maximum pressure (psi) and tank level (feet)">
          <a:extLst>
            <a:ext uri="{FF2B5EF4-FFF2-40B4-BE49-F238E27FC236}">
              <a16:creationId xmlns:a16="http://schemas.microsoft.com/office/drawing/2014/main" id="{00000000-0008-0000-0C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76200</xdr:colOff>
      <xdr:row>90</xdr:row>
      <xdr:rowOff>57150</xdr:rowOff>
    </xdr:from>
    <xdr:to>
      <xdr:col>11</xdr:col>
      <xdr:colOff>495300</xdr:colOff>
      <xdr:row>92</xdr:row>
      <xdr:rowOff>123825</xdr:rowOff>
    </xdr:to>
    <xdr:sp macro="" textlink="">
      <xdr:nvSpPr>
        <xdr:cNvPr id="12" name="AutoShape 9">
          <a:extLst>
            <a:ext uri="{FF2B5EF4-FFF2-40B4-BE49-F238E27FC236}">
              <a16:creationId xmlns:a16="http://schemas.microsoft.com/office/drawing/2014/main" id="{00000000-0008-0000-0C00-00000C000000}"/>
            </a:ext>
            <a:ext uri="{C183D7F6-B498-43B3-948B-1728B52AA6E4}">
              <adec:decorative xmlns:adec="http://schemas.microsoft.com/office/drawing/2017/decorative" val="1"/>
            </a:ext>
          </a:extLst>
        </xdr:cNvPr>
        <xdr:cNvSpPr>
          <a:spLocks noChangeArrowheads="1"/>
        </xdr:cNvSpPr>
      </xdr:nvSpPr>
      <xdr:spPr bwMode="auto">
        <a:xfrm>
          <a:off x="5743575" y="14382750"/>
          <a:ext cx="419100" cy="390525"/>
        </a:xfrm>
        <a:prstGeom prst="rightArrow">
          <a:avLst>
            <a:gd name="adj1" fmla="val 50000"/>
            <a:gd name="adj2" fmla="val 26829"/>
          </a:avLst>
        </a:prstGeom>
        <a:solidFill>
          <a:srgbClr val="000000"/>
        </a:solidFill>
        <a:ln w="9525">
          <a:solidFill>
            <a:srgbClr val="000000"/>
          </a:solidFill>
          <a:miter lim="800000"/>
          <a:headEnd/>
          <a:tailEnd/>
        </a:ln>
      </xdr:spPr>
    </xdr:sp>
    <xdr:clientData/>
  </xdr:twoCellAnchor>
  <xdr:twoCellAnchor>
    <xdr:from>
      <xdr:col>2</xdr:col>
      <xdr:colOff>103723</xdr:colOff>
      <xdr:row>114</xdr:row>
      <xdr:rowOff>104778</xdr:rowOff>
    </xdr:from>
    <xdr:to>
      <xdr:col>9</xdr:col>
      <xdr:colOff>428424</xdr:colOff>
      <xdr:row>134</xdr:row>
      <xdr:rowOff>4170</xdr:rowOff>
    </xdr:to>
    <xdr:grpSp>
      <xdr:nvGrpSpPr>
        <xdr:cNvPr id="13" name="Group 12" descr="graph showing example minimum and maximum tank level data (feet) over time (days), with the input levels circled">
          <a:extLst>
            <a:ext uri="{FF2B5EF4-FFF2-40B4-BE49-F238E27FC236}">
              <a16:creationId xmlns:a16="http://schemas.microsoft.com/office/drawing/2014/main" id="{00000000-0008-0000-0C00-00000D000000}"/>
            </a:ext>
          </a:extLst>
        </xdr:cNvPr>
        <xdr:cNvGrpSpPr>
          <a:grpSpLocks noChangeAspect="1"/>
        </xdr:cNvGrpSpPr>
      </xdr:nvGrpSpPr>
      <xdr:grpSpPr>
        <a:xfrm>
          <a:off x="339731" y="19659603"/>
          <a:ext cx="5066035" cy="3080742"/>
          <a:chOff x="762000" y="1371600"/>
          <a:chExt cx="7355950" cy="5039103"/>
        </a:xfrm>
      </xdr:grpSpPr>
      <xdr:pic>
        <xdr:nvPicPr>
          <xdr:cNvPr id="14" name="Picture 13" descr="circles to designate the min and max levels that should be entered into the spreadsheet">
            <a:extLst>
              <a:ext uri="{FF2B5EF4-FFF2-40B4-BE49-F238E27FC236}">
                <a16:creationId xmlns:a16="http://schemas.microsoft.com/office/drawing/2014/main" id="{00000000-0008-0000-0C00-00000E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62000" y="1371600"/>
            <a:ext cx="7355950" cy="5039103"/>
          </a:xfrm>
          <a:prstGeom prst="rect">
            <a:avLst/>
          </a:prstGeom>
          <a:noFill/>
          <a:ln w="9525">
            <a:noFill/>
            <a:miter lim="800000"/>
            <a:headEnd/>
            <a:tailEnd/>
          </a:ln>
        </xdr:spPr>
      </xdr:pic>
      <xdr:sp macro="" textlink="">
        <xdr:nvSpPr>
          <xdr:cNvPr id="15" name="Oval 14">
            <a:extLst>
              <a:ext uri="{FF2B5EF4-FFF2-40B4-BE49-F238E27FC236}">
                <a16:creationId xmlns:a16="http://schemas.microsoft.com/office/drawing/2014/main" id="{00000000-0008-0000-0C00-00000F000000}"/>
              </a:ext>
            </a:extLst>
          </xdr:cNvPr>
          <xdr:cNvSpPr/>
        </xdr:nvSpPr>
        <xdr:spPr bwMode="auto">
          <a:xfrm>
            <a:off x="1447800" y="2667000"/>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6" name="Oval 15">
            <a:extLst>
              <a:ext uri="{FF2B5EF4-FFF2-40B4-BE49-F238E27FC236}">
                <a16:creationId xmlns:a16="http://schemas.microsoft.com/office/drawing/2014/main" id="{00000000-0008-0000-0C00-000010000000}"/>
              </a:ext>
            </a:extLst>
          </xdr:cNvPr>
          <xdr:cNvSpPr/>
        </xdr:nvSpPr>
        <xdr:spPr bwMode="auto">
          <a:xfrm>
            <a:off x="1903625" y="5003991"/>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7" name="Oval 16">
            <a:extLst>
              <a:ext uri="{FF2B5EF4-FFF2-40B4-BE49-F238E27FC236}">
                <a16:creationId xmlns:a16="http://schemas.microsoft.com/office/drawing/2014/main" id="{00000000-0008-0000-0C00-000011000000}"/>
              </a:ext>
            </a:extLst>
          </xdr:cNvPr>
          <xdr:cNvSpPr/>
        </xdr:nvSpPr>
        <xdr:spPr bwMode="auto">
          <a:xfrm>
            <a:off x="2231973" y="2601055"/>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8" name="Oval 17">
            <a:extLst>
              <a:ext uri="{FF2B5EF4-FFF2-40B4-BE49-F238E27FC236}">
                <a16:creationId xmlns:a16="http://schemas.microsoft.com/office/drawing/2014/main" id="{00000000-0008-0000-0C00-000012000000}"/>
              </a:ext>
            </a:extLst>
          </xdr:cNvPr>
          <xdr:cNvSpPr/>
        </xdr:nvSpPr>
        <xdr:spPr bwMode="auto">
          <a:xfrm>
            <a:off x="2730051" y="4717849"/>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9" name="Oval 18">
            <a:extLst>
              <a:ext uri="{FF2B5EF4-FFF2-40B4-BE49-F238E27FC236}">
                <a16:creationId xmlns:a16="http://schemas.microsoft.com/office/drawing/2014/main" id="{00000000-0008-0000-0C00-000013000000}"/>
              </a:ext>
            </a:extLst>
          </xdr:cNvPr>
          <xdr:cNvSpPr/>
        </xdr:nvSpPr>
        <xdr:spPr bwMode="auto">
          <a:xfrm>
            <a:off x="3053556" y="2677255"/>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20" name="Oval 19">
            <a:extLst>
              <a:ext uri="{FF2B5EF4-FFF2-40B4-BE49-F238E27FC236}">
                <a16:creationId xmlns:a16="http://schemas.microsoft.com/office/drawing/2014/main" id="{00000000-0008-0000-0C00-000014000000}"/>
              </a:ext>
            </a:extLst>
          </xdr:cNvPr>
          <xdr:cNvSpPr/>
        </xdr:nvSpPr>
        <xdr:spPr bwMode="auto">
          <a:xfrm>
            <a:off x="3586958" y="4882071"/>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21" name="Oval 20">
            <a:extLst>
              <a:ext uri="{FF2B5EF4-FFF2-40B4-BE49-F238E27FC236}">
                <a16:creationId xmlns:a16="http://schemas.microsoft.com/office/drawing/2014/main" id="{00000000-0008-0000-0C00-000015000000}"/>
              </a:ext>
            </a:extLst>
          </xdr:cNvPr>
          <xdr:cNvSpPr/>
        </xdr:nvSpPr>
        <xdr:spPr bwMode="auto">
          <a:xfrm>
            <a:off x="3966582" y="2765277"/>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22" name="Oval 21">
            <a:extLst>
              <a:ext uri="{FF2B5EF4-FFF2-40B4-BE49-F238E27FC236}">
                <a16:creationId xmlns:a16="http://schemas.microsoft.com/office/drawing/2014/main" id="{00000000-0008-0000-0C00-000016000000}"/>
              </a:ext>
            </a:extLst>
          </xdr:cNvPr>
          <xdr:cNvSpPr/>
        </xdr:nvSpPr>
        <xdr:spPr bwMode="auto">
          <a:xfrm>
            <a:off x="4401609" y="4870249"/>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23" name="Oval 22">
            <a:extLst>
              <a:ext uri="{FF2B5EF4-FFF2-40B4-BE49-F238E27FC236}">
                <a16:creationId xmlns:a16="http://schemas.microsoft.com/office/drawing/2014/main" id="{00000000-0008-0000-0C00-000017000000}"/>
              </a:ext>
            </a:extLst>
          </xdr:cNvPr>
          <xdr:cNvSpPr/>
        </xdr:nvSpPr>
        <xdr:spPr bwMode="auto">
          <a:xfrm>
            <a:off x="4693259" y="2743199"/>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24" name="Oval 23">
            <a:extLst>
              <a:ext uri="{FF2B5EF4-FFF2-40B4-BE49-F238E27FC236}">
                <a16:creationId xmlns:a16="http://schemas.microsoft.com/office/drawing/2014/main" id="{00000000-0008-0000-0C00-000018000000}"/>
              </a:ext>
            </a:extLst>
          </xdr:cNvPr>
          <xdr:cNvSpPr/>
        </xdr:nvSpPr>
        <xdr:spPr bwMode="auto">
          <a:xfrm>
            <a:off x="6300392" y="2548498"/>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25" name="Oval 24">
            <a:extLst>
              <a:ext uri="{FF2B5EF4-FFF2-40B4-BE49-F238E27FC236}">
                <a16:creationId xmlns:a16="http://schemas.microsoft.com/office/drawing/2014/main" id="{00000000-0008-0000-0C00-000019000000}"/>
              </a:ext>
            </a:extLst>
          </xdr:cNvPr>
          <xdr:cNvSpPr/>
        </xdr:nvSpPr>
        <xdr:spPr bwMode="auto">
          <a:xfrm>
            <a:off x="6017764" y="4904147"/>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26" name="Oval 25">
            <a:extLst>
              <a:ext uri="{FF2B5EF4-FFF2-40B4-BE49-F238E27FC236}">
                <a16:creationId xmlns:a16="http://schemas.microsoft.com/office/drawing/2014/main" id="{00000000-0008-0000-0C00-00001A000000}"/>
              </a:ext>
            </a:extLst>
          </xdr:cNvPr>
          <xdr:cNvSpPr/>
        </xdr:nvSpPr>
        <xdr:spPr bwMode="auto">
          <a:xfrm>
            <a:off x="5431713" y="2743199"/>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27" name="Oval 26">
            <a:extLst>
              <a:ext uri="{FF2B5EF4-FFF2-40B4-BE49-F238E27FC236}">
                <a16:creationId xmlns:a16="http://schemas.microsoft.com/office/drawing/2014/main" id="{00000000-0008-0000-0C00-00001B000000}"/>
              </a:ext>
            </a:extLst>
          </xdr:cNvPr>
          <xdr:cNvSpPr/>
        </xdr:nvSpPr>
        <xdr:spPr bwMode="auto">
          <a:xfrm>
            <a:off x="5116513" y="4870249"/>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28" name="Oval 27">
            <a:extLst>
              <a:ext uri="{FF2B5EF4-FFF2-40B4-BE49-F238E27FC236}">
                <a16:creationId xmlns:a16="http://schemas.microsoft.com/office/drawing/2014/main" id="{00000000-0008-0000-0C00-00001C000000}"/>
              </a:ext>
            </a:extLst>
          </xdr:cNvPr>
          <xdr:cNvSpPr/>
        </xdr:nvSpPr>
        <xdr:spPr bwMode="auto">
          <a:xfrm>
            <a:off x="6950870" y="2643357"/>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29" name="Oval 28">
            <a:extLst>
              <a:ext uri="{FF2B5EF4-FFF2-40B4-BE49-F238E27FC236}">
                <a16:creationId xmlns:a16="http://schemas.microsoft.com/office/drawing/2014/main" id="{00000000-0008-0000-0C00-00001D000000}"/>
              </a:ext>
            </a:extLst>
          </xdr:cNvPr>
          <xdr:cNvSpPr/>
        </xdr:nvSpPr>
        <xdr:spPr bwMode="auto">
          <a:xfrm>
            <a:off x="6722270" y="4788778"/>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30" name="Oval 29">
            <a:extLst>
              <a:ext uri="{FF2B5EF4-FFF2-40B4-BE49-F238E27FC236}">
                <a16:creationId xmlns:a16="http://schemas.microsoft.com/office/drawing/2014/main" id="{00000000-0008-0000-0C00-00001E000000}"/>
              </a:ext>
            </a:extLst>
          </xdr:cNvPr>
          <xdr:cNvSpPr/>
        </xdr:nvSpPr>
        <xdr:spPr bwMode="auto">
          <a:xfrm>
            <a:off x="7472497" y="4893893"/>
            <a:ext cx="182880" cy="182880"/>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grpSp>
    <xdr:clientData/>
  </xdr:twoCellAnchor>
  <xdr:twoCellAnchor>
    <xdr:from>
      <xdr:col>10</xdr:col>
      <xdr:colOff>523881</xdr:colOff>
      <xdr:row>115</xdr:row>
      <xdr:rowOff>85729</xdr:rowOff>
    </xdr:from>
    <xdr:to>
      <xdr:col>17</xdr:col>
      <xdr:colOff>517158</xdr:colOff>
      <xdr:row>132</xdr:row>
      <xdr:rowOff>114304</xdr:rowOff>
    </xdr:to>
    <xdr:grpSp>
      <xdr:nvGrpSpPr>
        <xdr:cNvPr id="31" name="Group 30" descr="graph showing tank minimum and maximum levels (in feet) over time.">
          <a:extLst>
            <a:ext uri="{FF2B5EF4-FFF2-40B4-BE49-F238E27FC236}">
              <a16:creationId xmlns:a16="http://schemas.microsoft.com/office/drawing/2014/main" id="{00000000-0008-0000-0C00-00001F000000}"/>
            </a:ext>
          </a:extLst>
        </xdr:cNvPr>
        <xdr:cNvGrpSpPr>
          <a:grpSpLocks noChangeAspect="1"/>
        </xdr:cNvGrpSpPr>
      </xdr:nvGrpSpPr>
      <xdr:grpSpPr>
        <a:xfrm>
          <a:off x="6129873" y="19799304"/>
          <a:ext cx="4526118" cy="2730500"/>
          <a:chOff x="381000" y="838200"/>
          <a:chExt cx="8673353" cy="5562600"/>
        </a:xfrm>
      </xdr:grpSpPr>
      <xdr:pic>
        <xdr:nvPicPr>
          <xdr:cNvPr id="86" name="Picture 85" descr="markers to indicate minimum and maximum levels and amount of level change in the tank">
            <a:extLst>
              <a:ext uri="{FF2B5EF4-FFF2-40B4-BE49-F238E27FC236}">
                <a16:creationId xmlns:a16="http://schemas.microsoft.com/office/drawing/2014/main" id="{00000000-0008-0000-0C00-000056000000}"/>
              </a:ext>
            </a:extLst>
          </xdr:cNvPr>
          <xdr:cNvPicPr>
            <a:picLocks noChangeAspect="1" noChangeArrowheads="1"/>
          </xdr:cNvPicPr>
        </xdr:nvPicPr>
        <xdr:blipFill>
          <a:blip xmlns:r="http://schemas.openxmlformats.org/officeDocument/2006/relationships" r:embed="rId4" cstate="print"/>
          <a:srcRect t="13425" r="3490" b="2309"/>
          <a:stretch>
            <a:fillRect/>
          </a:stretch>
        </xdr:blipFill>
        <xdr:spPr bwMode="auto">
          <a:xfrm>
            <a:off x="381000" y="838200"/>
            <a:ext cx="8673353" cy="5562600"/>
          </a:xfrm>
          <a:prstGeom prst="rect">
            <a:avLst/>
          </a:prstGeom>
          <a:noFill/>
          <a:ln w="9525">
            <a:noFill/>
            <a:miter lim="800000"/>
            <a:headEnd/>
            <a:tailEnd/>
          </a:ln>
        </xdr:spPr>
      </xdr:pic>
      <xdr:sp macro="" textlink="">
        <xdr:nvSpPr>
          <xdr:cNvPr id="33" name="Oval 32">
            <a:extLst>
              <a:ext uri="{FF2B5EF4-FFF2-40B4-BE49-F238E27FC236}">
                <a16:creationId xmlns:a16="http://schemas.microsoft.com/office/drawing/2014/main" id="{00000000-0008-0000-0C00-000021000000}"/>
              </a:ext>
            </a:extLst>
          </xdr:cNvPr>
          <xdr:cNvSpPr/>
        </xdr:nvSpPr>
        <xdr:spPr bwMode="auto">
          <a:xfrm>
            <a:off x="1136772" y="3576524"/>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34" name="Oval 33">
            <a:extLst>
              <a:ext uri="{FF2B5EF4-FFF2-40B4-BE49-F238E27FC236}">
                <a16:creationId xmlns:a16="http://schemas.microsoft.com/office/drawing/2014/main" id="{00000000-0008-0000-0C00-000022000000}"/>
              </a:ext>
            </a:extLst>
          </xdr:cNvPr>
          <xdr:cNvSpPr/>
        </xdr:nvSpPr>
        <xdr:spPr bwMode="auto">
          <a:xfrm>
            <a:off x="1517771" y="1702004"/>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35" name="Oval 34">
            <a:extLst>
              <a:ext uri="{FF2B5EF4-FFF2-40B4-BE49-F238E27FC236}">
                <a16:creationId xmlns:a16="http://schemas.microsoft.com/office/drawing/2014/main" id="{00000000-0008-0000-0C00-000023000000}"/>
              </a:ext>
            </a:extLst>
          </xdr:cNvPr>
          <xdr:cNvSpPr/>
        </xdr:nvSpPr>
        <xdr:spPr bwMode="auto">
          <a:xfrm>
            <a:off x="1944491" y="1671524"/>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36" name="Oval 35">
            <a:extLst>
              <a:ext uri="{FF2B5EF4-FFF2-40B4-BE49-F238E27FC236}">
                <a16:creationId xmlns:a16="http://schemas.microsoft.com/office/drawing/2014/main" id="{00000000-0008-0000-0C00-000024000000}"/>
              </a:ext>
            </a:extLst>
          </xdr:cNvPr>
          <xdr:cNvSpPr/>
        </xdr:nvSpPr>
        <xdr:spPr bwMode="auto">
          <a:xfrm>
            <a:off x="1715892" y="4369005"/>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37" name="Oval 36">
            <a:extLst>
              <a:ext uri="{FF2B5EF4-FFF2-40B4-BE49-F238E27FC236}">
                <a16:creationId xmlns:a16="http://schemas.microsoft.com/office/drawing/2014/main" id="{00000000-0008-0000-0C00-000025000000}"/>
              </a:ext>
            </a:extLst>
          </xdr:cNvPr>
          <xdr:cNvSpPr/>
        </xdr:nvSpPr>
        <xdr:spPr bwMode="auto">
          <a:xfrm>
            <a:off x="2173092" y="3805125"/>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38" name="Oval 37">
            <a:extLst>
              <a:ext uri="{FF2B5EF4-FFF2-40B4-BE49-F238E27FC236}">
                <a16:creationId xmlns:a16="http://schemas.microsoft.com/office/drawing/2014/main" id="{00000000-0008-0000-0C00-000026000000}"/>
              </a:ext>
            </a:extLst>
          </xdr:cNvPr>
          <xdr:cNvSpPr/>
        </xdr:nvSpPr>
        <xdr:spPr bwMode="auto">
          <a:xfrm>
            <a:off x="3194173" y="271808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39" name="Oval 38">
            <a:extLst>
              <a:ext uri="{FF2B5EF4-FFF2-40B4-BE49-F238E27FC236}">
                <a16:creationId xmlns:a16="http://schemas.microsoft.com/office/drawing/2014/main" id="{00000000-0008-0000-0C00-000027000000}"/>
              </a:ext>
            </a:extLst>
          </xdr:cNvPr>
          <xdr:cNvSpPr/>
        </xdr:nvSpPr>
        <xdr:spPr bwMode="auto">
          <a:xfrm>
            <a:off x="2477891" y="557720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40" name="Oval 39">
            <a:extLst>
              <a:ext uri="{FF2B5EF4-FFF2-40B4-BE49-F238E27FC236}">
                <a16:creationId xmlns:a16="http://schemas.microsoft.com/office/drawing/2014/main" id="{00000000-0008-0000-0C00-000028000000}"/>
              </a:ext>
            </a:extLst>
          </xdr:cNvPr>
          <xdr:cNvSpPr/>
        </xdr:nvSpPr>
        <xdr:spPr bwMode="auto">
          <a:xfrm>
            <a:off x="1411092" y="3576524"/>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41" name="Oval 40">
            <a:extLst>
              <a:ext uri="{FF2B5EF4-FFF2-40B4-BE49-F238E27FC236}">
                <a16:creationId xmlns:a16="http://schemas.microsoft.com/office/drawing/2014/main" id="{00000000-0008-0000-0C00-000029000000}"/>
              </a:ext>
            </a:extLst>
          </xdr:cNvPr>
          <xdr:cNvSpPr/>
        </xdr:nvSpPr>
        <xdr:spPr bwMode="auto">
          <a:xfrm>
            <a:off x="1289172" y="2692605"/>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42" name="Oval 41">
            <a:extLst>
              <a:ext uri="{FF2B5EF4-FFF2-40B4-BE49-F238E27FC236}">
                <a16:creationId xmlns:a16="http://schemas.microsoft.com/office/drawing/2014/main" id="{00000000-0008-0000-0C00-00002A000000}"/>
              </a:ext>
            </a:extLst>
          </xdr:cNvPr>
          <xdr:cNvSpPr/>
        </xdr:nvSpPr>
        <xdr:spPr bwMode="auto">
          <a:xfrm>
            <a:off x="2965572" y="168176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43" name="Oval 42">
            <a:extLst>
              <a:ext uri="{FF2B5EF4-FFF2-40B4-BE49-F238E27FC236}">
                <a16:creationId xmlns:a16="http://schemas.microsoft.com/office/drawing/2014/main" id="{00000000-0008-0000-0C00-00002B000000}"/>
              </a:ext>
            </a:extLst>
          </xdr:cNvPr>
          <xdr:cNvSpPr/>
        </xdr:nvSpPr>
        <xdr:spPr bwMode="auto">
          <a:xfrm>
            <a:off x="3041773" y="264188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44" name="Oval 43">
            <a:extLst>
              <a:ext uri="{FF2B5EF4-FFF2-40B4-BE49-F238E27FC236}">
                <a16:creationId xmlns:a16="http://schemas.microsoft.com/office/drawing/2014/main" id="{00000000-0008-0000-0C00-00002C000000}"/>
              </a:ext>
            </a:extLst>
          </xdr:cNvPr>
          <xdr:cNvSpPr/>
        </xdr:nvSpPr>
        <xdr:spPr bwMode="auto">
          <a:xfrm>
            <a:off x="2858892" y="297716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45" name="Oval 44">
            <a:extLst>
              <a:ext uri="{FF2B5EF4-FFF2-40B4-BE49-F238E27FC236}">
                <a16:creationId xmlns:a16="http://schemas.microsoft.com/office/drawing/2014/main" id="{00000000-0008-0000-0C00-00002D000000}"/>
              </a:ext>
            </a:extLst>
          </xdr:cNvPr>
          <xdr:cNvSpPr/>
        </xdr:nvSpPr>
        <xdr:spPr bwMode="auto">
          <a:xfrm>
            <a:off x="2813172" y="229136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46" name="Oval 45">
            <a:extLst>
              <a:ext uri="{FF2B5EF4-FFF2-40B4-BE49-F238E27FC236}">
                <a16:creationId xmlns:a16="http://schemas.microsoft.com/office/drawing/2014/main" id="{00000000-0008-0000-0C00-00002E000000}"/>
              </a:ext>
            </a:extLst>
          </xdr:cNvPr>
          <xdr:cNvSpPr/>
        </xdr:nvSpPr>
        <xdr:spPr bwMode="auto">
          <a:xfrm>
            <a:off x="2096893" y="487192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47" name="Oval 46">
            <a:extLst>
              <a:ext uri="{FF2B5EF4-FFF2-40B4-BE49-F238E27FC236}">
                <a16:creationId xmlns:a16="http://schemas.microsoft.com/office/drawing/2014/main" id="{00000000-0008-0000-0C00-00002F000000}"/>
              </a:ext>
            </a:extLst>
          </xdr:cNvPr>
          <xdr:cNvSpPr/>
        </xdr:nvSpPr>
        <xdr:spPr bwMode="auto">
          <a:xfrm>
            <a:off x="3316092" y="267236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48" name="Oval 47">
            <a:extLst>
              <a:ext uri="{FF2B5EF4-FFF2-40B4-BE49-F238E27FC236}">
                <a16:creationId xmlns:a16="http://schemas.microsoft.com/office/drawing/2014/main" id="{00000000-0008-0000-0C00-000030000000}"/>
              </a:ext>
            </a:extLst>
          </xdr:cNvPr>
          <xdr:cNvSpPr/>
        </xdr:nvSpPr>
        <xdr:spPr bwMode="auto">
          <a:xfrm>
            <a:off x="3087491" y="172748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49" name="Oval 48">
            <a:extLst>
              <a:ext uri="{FF2B5EF4-FFF2-40B4-BE49-F238E27FC236}">
                <a16:creationId xmlns:a16="http://schemas.microsoft.com/office/drawing/2014/main" id="{00000000-0008-0000-0C00-000031000000}"/>
              </a:ext>
            </a:extLst>
          </xdr:cNvPr>
          <xdr:cNvSpPr/>
        </xdr:nvSpPr>
        <xdr:spPr bwMode="auto">
          <a:xfrm>
            <a:off x="3239891" y="172748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50" name="Oval 49">
            <a:extLst>
              <a:ext uri="{FF2B5EF4-FFF2-40B4-BE49-F238E27FC236}">
                <a16:creationId xmlns:a16="http://schemas.microsoft.com/office/drawing/2014/main" id="{00000000-0008-0000-0C00-000032000000}"/>
              </a:ext>
            </a:extLst>
          </xdr:cNvPr>
          <xdr:cNvSpPr/>
        </xdr:nvSpPr>
        <xdr:spPr bwMode="auto">
          <a:xfrm>
            <a:off x="3422772" y="172748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51" name="Oval 50">
            <a:extLst>
              <a:ext uri="{FF2B5EF4-FFF2-40B4-BE49-F238E27FC236}">
                <a16:creationId xmlns:a16="http://schemas.microsoft.com/office/drawing/2014/main" id="{00000000-0008-0000-0C00-000033000000}"/>
              </a:ext>
            </a:extLst>
          </xdr:cNvPr>
          <xdr:cNvSpPr/>
        </xdr:nvSpPr>
        <xdr:spPr bwMode="auto">
          <a:xfrm>
            <a:off x="3727571" y="431828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52" name="Oval 51">
            <a:extLst>
              <a:ext uri="{FF2B5EF4-FFF2-40B4-BE49-F238E27FC236}">
                <a16:creationId xmlns:a16="http://schemas.microsoft.com/office/drawing/2014/main" id="{00000000-0008-0000-0C00-000034000000}"/>
              </a:ext>
            </a:extLst>
          </xdr:cNvPr>
          <xdr:cNvSpPr/>
        </xdr:nvSpPr>
        <xdr:spPr bwMode="auto">
          <a:xfrm>
            <a:off x="4042367" y="1717368"/>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53" name="Oval 52">
            <a:extLst>
              <a:ext uri="{FF2B5EF4-FFF2-40B4-BE49-F238E27FC236}">
                <a16:creationId xmlns:a16="http://schemas.microsoft.com/office/drawing/2014/main" id="{00000000-0008-0000-0C00-000035000000}"/>
              </a:ext>
            </a:extLst>
          </xdr:cNvPr>
          <xdr:cNvSpPr/>
        </xdr:nvSpPr>
        <xdr:spPr bwMode="auto">
          <a:xfrm>
            <a:off x="4118568" y="266224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54" name="Oval 53">
            <a:extLst>
              <a:ext uri="{FF2B5EF4-FFF2-40B4-BE49-F238E27FC236}">
                <a16:creationId xmlns:a16="http://schemas.microsoft.com/office/drawing/2014/main" id="{00000000-0008-0000-0C00-000036000000}"/>
              </a:ext>
            </a:extLst>
          </xdr:cNvPr>
          <xdr:cNvSpPr/>
        </xdr:nvSpPr>
        <xdr:spPr bwMode="auto">
          <a:xfrm>
            <a:off x="4194767" y="1717368"/>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55" name="Oval 54">
            <a:extLst>
              <a:ext uri="{FF2B5EF4-FFF2-40B4-BE49-F238E27FC236}">
                <a16:creationId xmlns:a16="http://schemas.microsoft.com/office/drawing/2014/main" id="{00000000-0008-0000-0C00-000037000000}"/>
              </a:ext>
            </a:extLst>
          </xdr:cNvPr>
          <xdr:cNvSpPr/>
        </xdr:nvSpPr>
        <xdr:spPr bwMode="auto">
          <a:xfrm>
            <a:off x="4469087" y="1717368"/>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56" name="Oval 55">
            <a:extLst>
              <a:ext uri="{FF2B5EF4-FFF2-40B4-BE49-F238E27FC236}">
                <a16:creationId xmlns:a16="http://schemas.microsoft.com/office/drawing/2014/main" id="{00000000-0008-0000-0C00-000038000000}"/>
              </a:ext>
            </a:extLst>
          </xdr:cNvPr>
          <xdr:cNvSpPr/>
        </xdr:nvSpPr>
        <xdr:spPr bwMode="auto">
          <a:xfrm>
            <a:off x="4316687" y="362236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57" name="Oval 56">
            <a:extLst>
              <a:ext uri="{FF2B5EF4-FFF2-40B4-BE49-F238E27FC236}">
                <a16:creationId xmlns:a16="http://schemas.microsoft.com/office/drawing/2014/main" id="{00000000-0008-0000-0C00-000039000000}"/>
              </a:ext>
            </a:extLst>
          </xdr:cNvPr>
          <xdr:cNvSpPr/>
        </xdr:nvSpPr>
        <xdr:spPr bwMode="auto">
          <a:xfrm>
            <a:off x="4545288" y="2860369"/>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58" name="Oval 57">
            <a:extLst>
              <a:ext uri="{FF2B5EF4-FFF2-40B4-BE49-F238E27FC236}">
                <a16:creationId xmlns:a16="http://schemas.microsoft.com/office/drawing/2014/main" id="{00000000-0008-0000-0C00-00003A000000}"/>
              </a:ext>
            </a:extLst>
          </xdr:cNvPr>
          <xdr:cNvSpPr/>
        </xdr:nvSpPr>
        <xdr:spPr bwMode="auto">
          <a:xfrm>
            <a:off x="5032968" y="4338648"/>
            <a:ext cx="304800" cy="22859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59" name="Oval 58">
            <a:extLst>
              <a:ext uri="{FF2B5EF4-FFF2-40B4-BE49-F238E27FC236}">
                <a16:creationId xmlns:a16="http://schemas.microsoft.com/office/drawing/2014/main" id="{00000000-0008-0000-0C00-00003B000000}"/>
              </a:ext>
            </a:extLst>
          </xdr:cNvPr>
          <xdr:cNvSpPr/>
        </xdr:nvSpPr>
        <xdr:spPr bwMode="auto">
          <a:xfrm>
            <a:off x="5688288" y="167164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60" name="Oval 59">
            <a:extLst>
              <a:ext uri="{FF2B5EF4-FFF2-40B4-BE49-F238E27FC236}">
                <a16:creationId xmlns:a16="http://schemas.microsoft.com/office/drawing/2014/main" id="{00000000-0008-0000-0C00-00003C000000}"/>
              </a:ext>
            </a:extLst>
          </xdr:cNvPr>
          <xdr:cNvSpPr/>
        </xdr:nvSpPr>
        <xdr:spPr bwMode="auto">
          <a:xfrm>
            <a:off x="6252167" y="388144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61" name="Oval 60">
            <a:extLst>
              <a:ext uri="{FF2B5EF4-FFF2-40B4-BE49-F238E27FC236}">
                <a16:creationId xmlns:a16="http://schemas.microsoft.com/office/drawing/2014/main" id="{00000000-0008-0000-0C00-00003D000000}"/>
              </a:ext>
            </a:extLst>
          </xdr:cNvPr>
          <xdr:cNvSpPr/>
        </xdr:nvSpPr>
        <xdr:spPr bwMode="auto">
          <a:xfrm>
            <a:off x="6480768" y="264188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62" name="Oval 61">
            <a:extLst>
              <a:ext uri="{FF2B5EF4-FFF2-40B4-BE49-F238E27FC236}">
                <a16:creationId xmlns:a16="http://schemas.microsoft.com/office/drawing/2014/main" id="{00000000-0008-0000-0C00-00003E000000}"/>
              </a:ext>
            </a:extLst>
          </xdr:cNvPr>
          <xdr:cNvSpPr/>
        </xdr:nvSpPr>
        <xdr:spPr bwMode="auto">
          <a:xfrm>
            <a:off x="6556967" y="305336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63" name="Oval 62">
            <a:extLst>
              <a:ext uri="{FF2B5EF4-FFF2-40B4-BE49-F238E27FC236}">
                <a16:creationId xmlns:a16="http://schemas.microsoft.com/office/drawing/2014/main" id="{00000000-0008-0000-0C00-00003F000000}"/>
              </a:ext>
            </a:extLst>
          </xdr:cNvPr>
          <xdr:cNvSpPr/>
        </xdr:nvSpPr>
        <xdr:spPr bwMode="auto">
          <a:xfrm>
            <a:off x="6633168" y="206276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64" name="Oval 63">
            <a:extLst>
              <a:ext uri="{FF2B5EF4-FFF2-40B4-BE49-F238E27FC236}">
                <a16:creationId xmlns:a16="http://schemas.microsoft.com/office/drawing/2014/main" id="{00000000-0008-0000-0C00-000040000000}"/>
              </a:ext>
            </a:extLst>
          </xdr:cNvPr>
          <xdr:cNvSpPr/>
        </xdr:nvSpPr>
        <xdr:spPr bwMode="auto">
          <a:xfrm>
            <a:off x="6755088" y="294668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65" name="Oval 64">
            <a:extLst>
              <a:ext uri="{FF2B5EF4-FFF2-40B4-BE49-F238E27FC236}">
                <a16:creationId xmlns:a16="http://schemas.microsoft.com/office/drawing/2014/main" id="{00000000-0008-0000-0C00-000041000000}"/>
              </a:ext>
            </a:extLst>
          </xdr:cNvPr>
          <xdr:cNvSpPr/>
        </xdr:nvSpPr>
        <xdr:spPr bwMode="auto">
          <a:xfrm>
            <a:off x="6831287" y="165128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66" name="Oval 65">
            <a:extLst>
              <a:ext uri="{FF2B5EF4-FFF2-40B4-BE49-F238E27FC236}">
                <a16:creationId xmlns:a16="http://schemas.microsoft.com/office/drawing/2014/main" id="{00000000-0008-0000-0C00-000042000000}"/>
              </a:ext>
            </a:extLst>
          </xdr:cNvPr>
          <xdr:cNvSpPr/>
        </xdr:nvSpPr>
        <xdr:spPr bwMode="auto">
          <a:xfrm>
            <a:off x="6937968" y="264188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67" name="Oval 66">
            <a:extLst>
              <a:ext uri="{FF2B5EF4-FFF2-40B4-BE49-F238E27FC236}">
                <a16:creationId xmlns:a16="http://schemas.microsoft.com/office/drawing/2014/main" id="{00000000-0008-0000-0C00-000043000000}"/>
              </a:ext>
            </a:extLst>
          </xdr:cNvPr>
          <xdr:cNvSpPr/>
        </xdr:nvSpPr>
        <xdr:spPr bwMode="auto">
          <a:xfrm>
            <a:off x="7014167" y="168176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68" name="Oval 67">
            <a:extLst>
              <a:ext uri="{FF2B5EF4-FFF2-40B4-BE49-F238E27FC236}">
                <a16:creationId xmlns:a16="http://schemas.microsoft.com/office/drawing/2014/main" id="{00000000-0008-0000-0C00-000044000000}"/>
              </a:ext>
            </a:extLst>
          </xdr:cNvPr>
          <xdr:cNvSpPr/>
        </xdr:nvSpPr>
        <xdr:spPr bwMode="auto">
          <a:xfrm>
            <a:off x="7136089" y="264188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69" name="Oval 68">
            <a:extLst>
              <a:ext uri="{FF2B5EF4-FFF2-40B4-BE49-F238E27FC236}">
                <a16:creationId xmlns:a16="http://schemas.microsoft.com/office/drawing/2014/main" id="{00000000-0008-0000-0C00-000045000000}"/>
              </a:ext>
            </a:extLst>
          </xdr:cNvPr>
          <xdr:cNvSpPr/>
        </xdr:nvSpPr>
        <xdr:spPr bwMode="auto">
          <a:xfrm>
            <a:off x="7212288" y="1681766"/>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70" name="Oval 69">
            <a:extLst>
              <a:ext uri="{FF2B5EF4-FFF2-40B4-BE49-F238E27FC236}">
                <a16:creationId xmlns:a16="http://schemas.microsoft.com/office/drawing/2014/main" id="{00000000-0008-0000-0C00-000046000000}"/>
              </a:ext>
            </a:extLst>
          </xdr:cNvPr>
          <xdr:cNvSpPr/>
        </xdr:nvSpPr>
        <xdr:spPr bwMode="auto">
          <a:xfrm>
            <a:off x="7395168" y="305336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71" name="Oval 70">
            <a:extLst>
              <a:ext uri="{FF2B5EF4-FFF2-40B4-BE49-F238E27FC236}">
                <a16:creationId xmlns:a16="http://schemas.microsoft.com/office/drawing/2014/main" id="{00000000-0008-0000-0C00-000047000000}"/>
              </a:ext>
            </a:extLst>
          </xdr:cNvPr>
          <xdr:cNvSpPr/>
        </xdr:nvSpPr>
        <xdr:spPr bwMode="auto">
          <a:xfrm>
            <a:off x="7623767" y="172748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72" name="Oval 71">
            <a:extLst>
              <a:ext uri="{FF2B5EF4-FFF2-40B4-BE49-F238E27FC236}">
                <a16:creationId xmlns:a16="http://schemas.microsoft.com/office/drawing/2014/main" id="{00000000-0008-0000-0C00-000048000000}"/>
              </a:ext>
            </a:extLst>
          </xdr:cNvPr>
          <xdr:cNvSpPr/>
        </xdr:nvSpPr>
        <xdr:spPr bwMode="auto">
          <a:xfrm>
            <a:off x="7776167" y="2748567"/>
            <a:ext cx="381001" cy="22859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73" name="Oval 72">
            <a:extLst>
              <a:ext uri="{FF2B5EF4-FFF2-40B4-BE49-F238E27FC236}">
                <a16:creationId xmlns:a16="http://schemas.microsoft.com/office/drawing/2014/main" id="{00000000-0008-0000-0C00-000049000000}"/>
              </a:ext>
            </a:extLst>
          </xdr:cNvPr>
          <xdr:cNvSpPr/>
        </xdr:nvSpPr>
        <xdr:spPr bwMode="auto">
          <a:xfrm>
            <a:off x="4728168" y="2479368"/>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74" name="Oval 73">
            <a:extLst>
              <a:ext uri="{FF2B5EF4-FFF2-40B4-BE49-F238E27FC236}">
                <a16:creationId xmlns:a16="http://schemas.microsoft.com/office/drawing/2014/main" id="{00000000-0008-0000-0C00-00004A000000}"/>
              </a:ext>
            </a:extLst>
          </xdr:cNvPr>
          <xdr:cNvSpPr/>
        </xdr:nvSpPr>
        <xdr:spPr bwMode="auto">
          <a:xfrm>
            <a:off x="8050488" y="2138967"/>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75" name="Oval 74">
            <a:extLst>
              <a:ext uri="{FF2B5EF4-FFF2-40B4-BE49-F238E27FC236}">
                <a16:creationId xmlns:a16="http://schemas.microsoft.com/office/drawing/2014/main" id="{00000000-0008-0000-0C00-00004B000000}"/>
              </a:ext>
            </a:extLst>
          </xdr:cNvPr>
          <xdr:cNvSpPr/>
        </xdr:nvSpPr>
        <xdr:spPr bwMode="auto">
          <a:xfrm>
            <a:off x="8157168" y="3510568"/>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76" name="Oval 75">
            <a:extLst>
              <a:ext uri="{FF2B5EF4-FFF2-40B4-BE49-F238E27FC236}">
                <a16:creationId xmlns:a16="http://schemas.microsoft.com/office/drawing/2014/main" id="{00000000-0008-0000-0C00-00004C000000}"/>
              </a:ext>
            </a:extLst>
          </xdr:cNvPr>
          <xdr:cNvSpPr/>
        </xdr:nvSpPr>
        <xdr:spPr bwMode="auto">
          <a:xfrm>
            <a:off x="8355288" y="1224568"/>
            <a:ext cx="182880" cy="182879"/>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77" name="Text Box 1411">
            <a:extLst>
              <a:ext uri="{FF2B5EF4-FFF2-40B4-BE49-F238E27FC236}">
                <a16:creationId xmlns:a16="http://schemas.microsoft.com/office/drawing/2014/main" id="{00000000-0008-0000-0C00-00004D000000}"/>
              </a:ext>
            </a:extLst>
          </xdr:cNvPr>
          <xdr:cNvSpPr txBox="1">
            <a:spLocks noChangeArrowheads="1"/>
          </xdr:cNvSpPr>
        </xdr:nvSpPr>
        <xdr:spPr bwMode="auto">
          <a:xfrm>
            <a:off x="3160176" y="4917606"/>
            <a:ext cx="869133" cy="384968"/>
          </a:xfrm>
          <a:prstGeom prst="rect">
            <a:avLst/>
          </a:prstGeom>
          <a:solidFill>
            <a:schemeClr val="bg1">
              <a:alpha val="75000"/>
            </a:schemeClr>
          </a:solidFill>
          <a:ln w="12700">
            <a:solidFill>
              <a:srgbClr val="FF0000"/>
            </a:solidFill>
            <a:miter lim="800000"/>
            <a:headEnd/>
            <a:tailEnd/>
          </a:ln>
        </xdr:spPr>
        <xdr:txBody>
          <a:bodyPr wrap="square">
            <a:noAutofit/>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n-US" sz="800" b="1">
                <a:solidFill>
                  <a:srgbClr val="FF3300"/>
                </a:solidFill>
              </a:rPr>
              <a:t>&lt; 1 ft</a:t>
            </a:r>
            <a:endParaRPr lang="en-US" sz="800" b="1">
              <a:solidFill>
                <a:srgbClr val="FF3300"/>
              </a:solidFill>
              <a:latin typeface="Arial" charset="0"/>
            </a:endParaRPr>
          </a:p>
        </xdr:txBody>
      </xdr:sp>
      <xdr:cxnSp macro="">
        <xdr:nvCxnSpPr>
          <xdr:cNvPr id="78" name="Straight Arrow Connector 77">
            <a:extLst>
              <a:ext uri="{FF2B5EF4-FFF2-40B4-BE49-F238E27FC236}">
                <a16:creationId xmlns:a16="http://schemas.microsoft.com/office/drawing/2014/main" id="{00000000-0008-0000-0C00-00004E000000}"/>
              </a:ext>
            </a:extLst>
          </xdr:cNvPr>
          <xdr:cNvCxnSpPr>
            <a:stCxn id="77" idx="1"/>
          </xdr:cNvCxnSpPr>
        </xdr:nvCxnSpPr>
        <xdr:spPr bwMode="auto">
          <a:xfrm flipH="1" flipV="1">
            <a:off x="2879737" y="4675172"/>
            <a:ext cx="280439" cy="434918"/>
          </a:xfrm>
          <a:prstGeom prst="straightConnector1">
            <a:avLst/>
          </a:prstGeom>
          <a:solidFill>
            <a:schemeClr val="accent1"/>
          </a:solidFill>
          <a:ln w="12700" cap="flat" cmpd="sng" algn="ctr">
            <a:solidFill>
              <a:srgbClr val="FF0000"/>
            </a:solidFill>
            <a:prstDash val="solid"/>
            <a:round/>
            <a:headEnd type="none" w="med" len="med"/>
            <a:tailEnd type="arrow"/>
          </a:ln>
          <a:effectLst/>
        </xdr:spPr>
      </xdr:cxnSp>
    </xdr:grpSp>
    <xdr:clientData/>
  </xdr:twoCellAnchor>
  <xdr:twoCellAnchor>
    <xdr:from>
      <xdr:col>15</xdr:col>
      <xdr:colOff>154338</xdr:colOff>
      <xdr:row>126</xdr:row>
      <xdr:rowOff>18031</xdr:rowOff>
    </xdr:from>
    <xdr:to>
      <xdr:col>15</xdr:col>
      <xdr:colOff>590210</xdr:colOff>
      <xdr:row>127</xdr:row>
      <xdr:rowOff>48325</xdr:rowOff>
    </xdr:to>
    <xdr:sp macro="" textlink="">
      <xdr:nvSpPr>
        <xdr:cNvPr id="100" name="Text Box 1411">
          <a:extLst>
            <a:ext uri="{FF2B5EF4-FFF2-40B4-BE49-F238E27FC236}">
              <a16:creationId xmlns:a16="http://schemas.microsoft.com/office/drawing/2014/main" id="{00000000-0008-0000-0C00-000064000000}"/>
            </a:ext>
          </a:extLst>
        </xdr:cNvPr>
        <xdr:cNvSpPr txBox="1">
          <a:spLocks noChangeArrowheads="1"/>
        </xdr:cNvSpPr>
      </xdr:nvSpPr>
      <xdr:spPr bwMode="auto">
        <a:xfrm>
          <a:off x="8294550" y="21529877"/>
          <a:ext cx="435872" cy="191486"/>
        </a:xfrm>
        <a:prstGeom prst="rect">
          <a:avLst/>
        </a:prstGeom>
        <a:solidFill>
          <a:schemeClr val="bg1">
            <a:alpha val="75000"/>
          </a:schemeClr>
        </a:solidFill>
        <a:ln w="12700">
          <a:solidFill>
            <a:srgbClr val="FF0000"/>
          </a:solidFill>
          <a:miter lim="800000"/>
          <a:headEnd/>
          <a:tailEnd/>
        </a:ln>
      </xdr:spPr>
      <xdr:txBody>
        <a:bodyPr wrap="square">
          <a:noAutofit/>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n-US" sz="800" b="1">
              <a:solidFill>
                <a:srgbClr val="FF3300"/>
              </a:solidFill>
            </a:rPr>
            <a:t>&lt; 1 ft</a:t>
          </a:r>
          <a:endParaRPr lang="en-US" sz="800" b="1">
            <a:solidFill>
              <a:srgbClr val="FF3300"/>
            </a:solidFill>
            <a:latin typeface="Arial" charset="0"/>
          </a:endParaRPr>
        </a:p>
      </xdr:txBody>
    </xdr:sp>
    <xdr:clientData/>
  </xdr:twoCellAnchor>
  <xdr:twoCellAnchor>
    <xdr:from>
      <xdr:col>14</xdr:col>
      <xdr:colOff>593481</xdr:colOff>
      <xdr:row>126</xdr:row>
      <xdr:rowOff>0</xdr:rowOff>
    </xdr:from>
    <xdr:to>
      <xdr:col>15</xdr:col>
      <xdr:colOff>154338</xdr:colOff>
      <xdr:row>126</xdr:row>
      <xdr:rowOff>113774</xdr:rowOff>
    </xdr:to>
    <xdr:cxnSp macro="">
      <xdr:nvCxnSpPr>
        <xdr:cNvPr id="101" name="Straight Arrow Connector 100">
          <a:extLst>
            <a:ext uri="{FF2B5EF4-FFF2-40B4-BE49-F238E27FC236}">
              <a16:creationId xmlns:a16="http://schemas.microsoft.com/office/drawing/2014/main" id="{00000000-0008-0000-0C00-000065000000}"/>
            </a:ext>
            <a:ext uri="{C183D7F6-B498-43B3-948B-1728B52AA6E4}">
              <adec:decorative xmlns:adec="http://schemas.microsoft.com/office/drawing/2017/decorative" val="1"/>
            </a:ext>
          </a:extLst>
        </xdr:cNvPr>
        <xdr:cNvCxnSpPr>
          <a:stCxn id="100" idx="1"/>
        </xdr:cNvCxnSpPr>
      </xdr:nvCxnSpPr>
      <xdr:spPr bwMode="auto">
        <a:xfrm flipH="1" flipV="1">
          <a:off x="8125558" y="21511846"/>
          <a:ext cx="168992" cy="113774"/>
        </a:xfrm>
        <a:prstGeom prst="straightConnector1">
          <a:avLst/>
        </a:prstGeom>
        <a:solidFill>
          <a:schemeClr val="accent1"/>
        </a:solidFill>
        <a:ln w="12700" cap="flat" cmpd="sng" algn="ctr">
          <a:solidFill>
            <a:srgbClr val="FF0000"/>
          </a:solidFill>
          <a:prstDash val="solid"/>
          <a:round/>
          <a:headEnd type="none" w="med" len="med"/>
          <a:tailEnd type="arrow"/>
        </a:ln>
        <a:effectLst/>
      </xdr:spPr>
    </xdr:cxnSp>
    <xdr:clientData/>
  </xdr:twoCellAnchor>
  <xdr:twoCellAnchor>
    <xdr:from>
      <xdr:col>14</xdr:col>
      <xdr:colOff>240410</xdr:colOff>
      <xdr:row>119</xdr:row>
      <xdr:rowOff>7310</xdr:rowOff>
    </xdr:from>
    <xdr:to>
      <xdr:col>15</xdr:col>
      <xdr:colOff>64677</xdr:colOff>
      <xdr:row>120</xdr:row>
      <xdr:rowOff>37604</xdr:rowOff>
    </xdr:to>
    <xdr:sp macro="" textlink="">
      <xdr:nvSpPr>
        <xdr:cNvPr id="102" name="Text Box 1411">
          <a:extLst>
            <a:ext uri="{FF2B5EF4-FFF2-40B4-BE49-F238E27FC236}">
              <a16:creationId xmlns:a16="http://schemas.microsoft.com/office/drawing/2014/main" id="{00000000-0008-0000-0C00-000066000000}"/>
            </a:ext>
          </a:extLst>
        </xdr:cNvPr>
        <xdr:cNvSpPr txBox="1">
          <a:spLocks noChangeArrowheads="1"/>
        </xdr:cNvSpPr>
      </xdr:nvSpPr>
      <xdr:spPr bwMode="auto">
        <a:xfrm>
          <a:off x="7800252" y="20325639"/>
          <a:ext cx="435872" cy="190715"/>
        </a:xfrm>
        <a:prstGeom prst="rect">
          <a:avLst/>
        </a:prstGeom>
        <a:solidFill>
          <a:schemeClr val="bg1">
            <a:alpha val="75000"/>
          </a:schemeClr>
        </a:solidFill>
        <a:ln w="12700">
          <a:solidFill>
            <a:srgbClr val="FF0000"/>
          </a:solidFill>
          <a:miter lim="800000"/>
          <a:headEnd/>
          <a:tailEnd/>
        </a:ln>
      </xdr:spPr>
      <xdr:txBody>
        <a:bodyPr wrap="square">
          <a:noAutofit/>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n-US" sz="800" b="1">
              <a:solidFill>
                <a:srgbClr val="FF3300"/>
              </a:solidFill>
            </a:rPr>
            <a:t>&lt; 1 ft</a:t>
          </a:r>
          <a:endParaRPr lang="en-US" sz="800" b="1">
            <a:solidFill>
              <a:srgbClr val="FF3300"/>
            </a:solidFill>
            <a:latin typeface="Arial" charset="0"/>
          </a:endParaRPr>
        </a:p>
      </xdr:txBody>
    </xdr:sp>
    <xdr:clientData/>
  </xdr:twoCellAnchor>
  <xdr:twoCellAnchor>
    <xdr:from>
      <xdr:col>14</xdr:col>
      <xdr:colOff>458346</xdr:colOff>
      <xdr:row>120</xdr:row>
      <xdr:rowOff>37604</xdr:rowOff>
    </xdr:from>
    <xdr:to>
      <xdr:col>15</xdr:col>
      <xdr:colOff>240632</xdr:colOff>
      <xdr:row>120</xdr:row>
      <xdr:rowOff>145382</xdr:rowOff>
    </xdr:to>
    <xdr:cxnSp macro="">
      <xdr:nvCxnSpPr>
        <xdr:cNvPr id="103" name="Straight Arrow Connector 102">
          <a:extLst>
            <a:ext uri="{FF2B5EF4-FFF2-40B4-BE49-F238E27FC236}">
              <a16:creationId xmlns:a16="http://schemas.microsoft.com/office/drawing/2014/main" id="{00000000-0008-0000-0C00-000067000000}"/>
            </a:ext>
            <a:ext uri="{C183D7F6-B498-43B3-948B-1728B52AA6E4}">
              <adec:decorative xmlns:adec="http://schemas.microsoft.com/office/drawing/2017/decorative" val="1"/>
            </a:ext>
          </a:extLst>
        </xdr:cNvPr>
        <xdr:cNvCxnSpPr>
          <a:stCxn id="102" idx="2"/>
        </xdr:cNvCxnSpPr>
      </xdr:nvCxnSpPr>
      <xdr:spPr bwMode="auto">
        <a:xfrm>
          <a:off x="8018188" y="20516354"/>
          <a:ext cx="393891" cy="107778"/>
        </a:xfrm>
        <a:prstGeom prst="straightConnector1">
          <a:avLst/>
        </a:prstGeom>
        <a:solidFill>
          <a:schemeClr val="accent1"/>
        </a:solidFill>
        <a:ln w="12700" cap="flat" cmpd="sng" algn="ctr">
          <a:solidFill>
            <a:srgbClr val="FF0000"/>
          </a:solidFill>
          <a:prstDash val="solid"/>
          <a:round/>
          <a:headEnd type="none" w="med" len="med"/>
          <a:tailEnd type="arrow"/>
        </a:ln>
        <a:effectLst/>
      </xdr:spPr>
    </xdr:cxnSp>
    <xdr:clientData/>
  </xdr:twoCellAnchor>
  <xdr:twoCellAnchor>
    <xdr:from>
      <xdr:col>16</xdr:col>
      <xdr:colOff>297559</xdr:colOff>
      <xdr:row>116</xdr:row>
      <xdr:rowOff>89525</xdr:rowOff>
    </xdr:from>
    <xdr:to>
      <xdr:col>17</xdr:col>
      <xdr:colOff>46629</xdr:colOff>
      <xdr:row>117</xdr:row>
      <xdr:rowOff>119819</xdr:rowOff>
    </xdr:to>
    <xdr:sp macro="" textlink="">
      <xdr:nvSpPr>
        <xdr:cNvPr id="107" name="Text Box 1411">
          <a:extLst>
            <a:ext uri="{FF2B5EF4-FFF2-40B4-BE49-F238E27FC236}">
              <a16:creationId xmlns:a16="http://schemas.microsoft.com/office/drawing/2014/main" id="{00000000-0008-0000-0C00-00006B000000}"/>
            </a:ext>
          </a:extLst>
        </xdr:cNvPr>
        <xdr:cNvSpPr txBox="1">
          <a:spLocks noChangeArrowheads="1"/>
        </xdr:cNvSpPr>
      </xdr:nvSpPr>
      <xdr:spPr bwMode="auto">
        <a:xfrm>
          <a:off x="9080612" y="19926591"/>
          <a:ext cx="435872" cy="190715"/>
        </a:xfrm>
        <a:prstGeom prst="rect">
          <a:avLst/>
        </a:prstGeom>
        <a:solidFill>
          <a:schemeClr val="bg1">
            <a:alpha val="75000"/>
          </a:schemeClr>
        </a:solidFill>
        <a:ln w="12700">
          <a:solidFill>
            <a:srgbClr val="FF0000"/>
          </a:solidFill>
          <a:miter lim="800000"/>
          <a:headEnd/>
          <a:tailEnd/>
        </a:ln>
      </xdr:spPr>
      <xdr:txBody>
        <a:bodyPr wrap="square">
          <a:noAutofit/>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n-US" sz="800" b="1">
              <a:solidFill>
                <a:srgbClr val="FF3300"/>
              </a:solidFill>
            </a:rPr>
            <a:t>&lt; 1 ft</a:t>
          </a:r>
          <a:endParaRPr lang="en-US" sz="800" b="1">
            <a:solidFill>
              <a:srgbClr val="FF3300"/>
            </a:solidFill>
            <a:latin typeface="Arial" charset="0"/>
          </a:endParaRPr>
        </a:p>
      </xdr:txBody>
    </xdr:sp>
    <xdr:clientData/>
  </xdr:twoCellAnchor>
  <xdr:twoCellAnchor>
    <xdr:from>
      <xdr:col>16</xdr:col>
      <xdr:colOff>515495</xdr:colOff>
      <xdr:row>117</xdr:row>
      <xdr:rowOff>119819</xdr:rowOff>
    </xdr:from>
    <xdr:to>
      <xdr:col>17</xdr:col>
      <xdr:colOff>120316</xdr:colOff>
      <xdr:row>119</xdr:row>
      <xdr:rowOff>40105</xdr:rowOff>
    </xdr:to>
    <xdr:cxnSp macro="">
      <xdr:nvCxnSpPr>
        <xdr:cNvPr id="108" name="Straight Arrow Connector 107">
          <a:extLst>
            <a:ext uri="{FF2B5EF4-FFF2-40B4-BE49-F238E27FC236}">
              <a16:creationId xmlns:a16="http://schemas.microsoft.com/office/drawing/2014/main" id="{00000000-0008-0000-0C00-00006C000000}"/>
            </a:ext>
            <a:ext uri="{C183D7F6-B498-43B3-948B-1728B52AA6E4}">
              <adec:decorative xmlns:adec="http://schemas.microsoft.com/office/drawing/2017/decorative" val="1"/>
            </a:ext>
          </a:extLst>
        </xdr:cNvPr>
        <xdr:cNvCxnSpPr>
          <a:stCxn id="107" idx="2"/>
        </xdr:cNvCxnSpPr>
      </xdr:nvCxnSpPr>
      <xdr:spPr bwMode="auto">
        <a:xfrm>
          <a:off x="9298548" y="20117306"/>
          <a:ext cx="291623" cy="241128"/>
        </a:xfrm>
        <a:prstGeom prst="straightConnector1">
          <a:avLst/>
        </a:prstGeom>
        <a:solidFill>
          <a:schemeClr val="accent1"/>
        </a:solidFill>
        <a:ln w="12700" cap="flat" cmpd="sng" algn="ctr">
          <a:solidFill>
            <a:srgbClr val="FF0000"/>
          </a:solidFill>
          <a:prstDash val="solid"/>
          <a:round/>
          <a:headEnd type="none" w="med" len="med"/>
          <a:tailEnd type="arrow"/>
        </a:ln>
        <a:effectLst/>
      </xdr:spPr>
    </xdr:cxnSp>
    <xdr:clientData/>
  </xdr:twoCellAnchor>
  <xdr:twoCellAnchor>
    <xdr:from>
      <xdr:col>17</xdr:col>
      <xdr:colOff>46629</xdr:colOff>
      <xdr:row>117</xdr:row>
      <xdr:rowOff>24076</xdr:rowOff>
    </xdr:from>
    <xdr:to>
      <xdr:col>17</xdr:col>
      <xdr:colOff>249115</xdr:colOff>
      <xdr:row>119</xdr:row>
      <xdr:rowOff>58615</xdr:rowOff>
    </xdr:to>
    <xdr:cxnSp macro="">
      <xdr:nvCxnSpPr>
        <xdr:cNvPr id="111" name="Straight Arrow Connector 110">
          <a:extLst>
            <a:ext uri="{FF2B5EF4-FFF2-40B4-BE49-F238E27FC236}">
              <a16:creationId xmlns:a16="http://schemas.microsoft.com/office/drawing/2014/main" id="{00000000-0008-0000-0C00-00006F000000}"/>
            </a:ext>
            <a:ext uri="{C183D7F6-B498-43B3-948B-1728B52AA6E4}">
              <adec:decorative xmlns:adec="http://schemas.microsoft.com/office/drawing/2017/decorative" val="1"/>
            </a:ext>
          </a:extLst>
        </xdr:cNvPr>
        <xdr:cNvCxnSpPr>
          <a:stCxn id="107" idx="3"/>
        </xdr:cNvCxnSpPr>
      </xdr:nvCxnSpPr>
      <xdr:spPr bwMode="auto">
        <a:xfrm>
          <a:off x="9483706" y="20085191"/>
          <a:ext cx="202486" cy="356924"/>
        </a:xfrm>
        <a:prstGeom prst="straightConnector1">
          <a:avLst/>
        </a:prstGeom>
        <a:solidFill>
          <a:schemeClr val="accent1"/>
        </a:solidFill>
        <a:ln w="12700" cap="flat" cmpd="sng" algn="ctr">
          <a:solidFill>
            <a:srgbClr val="FF0000"/>
          </a:solidFill>
          <a:prstDash val="solid"/>
          <a:round/>
          <a:headEnd type="none" w="med" len="med"/>
          <a:tailEnd type="arrow"/>
        </a:ln>
        <a:effectLst/>
      </xdr:spPr>
    </xdr:cxnSp>
    <xdr:clientData/>
  </xdr:twoCellAnchor>
  <xdr:twoCellAnchor>
    <xdr:from>
      <xdr:col>1</xdr:col>
      <xdr:colOff>127009</xdr:colOff>
      <xdr:row>139</xdr:row>
      <xdr:rowOff>84677</xdr:rowOff>
    </xdr:from>
    <xdr:to>
      <xdr:col>9</xdr:col>
      <xdr:colOff>517838</xdr:colOff>
      <xdr:row>159</xdr:row>
      <xdr:rowOff>135989</xdr:rowOff>
    </xdr:to>
    <xdr:grpSp>
      <xdr:nvGrpSpPr>
        <xdr:cNvPr id="127" name="Group 126" descr="circles indicating what min and max level should be entered into the spreadsheet.">
          <a:extLst>
            <a:ext uri="{FF2B5EF4-FFF2-40B4-BE49-F238E27FC236}">
              <a16:creationId xmlns:a16="http://schemas.microsoft.com/office/drawing/2014/main" id="{00000000-0008-0000-0C00-00007F000000}"/>
            </a:ext>
          </a:extLst>
        </xdr:cNvPr>
        <xdr:cNvGrpSpPr>
          <a:grpSpLocks noChangeAspect="1"/>
        </xdr:cNvGrpSpPr>
      </xdr:nvGrpSpPr>
      <xdr:grpSpPr>
        <a:xfrm>
          <a:off x="208501" y="23614602"/>
          <a:ext cx="5286679" cy="3223137"/>
          <a:chOff x="228604" y="23707731"/>
          <a:chExt cx="8472057" cy="5799069"/>
        </a:xfrm>
      </xdr:grpSpPr>
      <xdr:pic>
        <xdr:nvPicPr>
          <xdr:cNvPr id="124" name="Picture 123" descr="graph showing example minimum and maximum levels (feet) over time, with circles to indicate which values to enter into the spreadsheet.">
            <a:extLst>
              <a:ext uri="{FF2B5EF4-FFF2-40B4-BE49-F238E27FC236}">
                <a16:creationId xmlns:a16="http://schemas.microsoft.com/office/drawing/2014/main" id="{00000000-0008-0000-0C00-00007C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228604" y="23707731"/>
            <a:ext cx="8472057" cy="5799069"/>
          </a:xfrm>
          <a:prstGeom prst="rect">
            <a:avLst/>
          </a:prstGeom>
          <a:noFill/>
          <a:ln w="9525">
            <a:noFill/>
            <a:miter lim="800000"/>
            <a:headEnd/>
            <a:tailEnd/>
          </a:ln>
        </xdr:spPr>
      </xdr:pic>
      <xdr:sp macro="" textlink="">
        <xdr:nvSpPr>
          <xdr:cNvPr id="83" name="Oval 82">
            <a:extLst>
              <a:ext uri="{FF2B5EF4-FFF2-40B4-BE49-F238E27FC236}">
                <a16:creationId xmlns:a16="http://schemas.microsoft.com/office/drawing/2014/main" id="{00000000-0008-0000-0C00-000053000000}"/>
              </a:ext>
            </a:extLst>
          </xdr:cNvPr>
          <xdr:cNvSpPr>
            <a:spLocks noChangeAspect="1"/>
          </xdr:cNvSpPr>
        </xdr:nvSpPr>
        <xdr:spPr bwMode="auto">
          <a:xfrm>
            <a:off x="1295405" y="2642342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84" name="Oval 83">
            <a:extLst>
              <a:ext uri="{FF2B5EF4-FFF2-40B4-BE49-F238E27FC236}">
                <a16:creationId xmlns:a16="http://schemas.microsoft.com/office/drawing/2014/main" id="{00000000-0008-0000-0C00-000054000000}"/>
              </a:ext>
            </a:extLst>
          </xdr:cNvPr>
          <xdr:cNvSpPr>
            <a:spLocks noChangeAspect="1"/>
          </xdr:cNvSpPr>
        </xdr:nvSpPr>
        <xdr:spPr bwMode="auto">
          <a:xfrm>
            <a:off x="1569725" y="282217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85" name="Oval 84">
            <a:extLst>
              <a:ext uri="{FF2B5EF4-FFF2-40B4-BE49-F238E27FC236}">
                <a16:creationId xmlns:a16="http://schemas.microsoft.com/office/drawing/2014/main" id="{00000000-0008-0000-0C00-000055000000}"/>
              </a:ext>
            </a:extLst>
          </xdr:cNvPr>
          <xdr:cNvSpPr>
            <a:spLocks noChangeAspect="1"/>
          </xdr:cNvSpPr>
        </xdr:nvSpPr>
        <xdr:spPr bwMode="auto">
          <a:xfrm>
            <a:off x="1676405" y="266215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87" name="Oval 86">
            <a:extLst>
              <a:ext uri="{FF2B5EF4-FFF2-40B4-BE49-F238E27FC236}">
                <a16:creationId xmlns:a16="http://schemas.microsoft.com/office/drawing/2014/main" id="{00000000-0008-0000-0C00-000057000000}"/>
              </a:ext>
            </a:extLst>
          </xdr:cNvPr>
          <xdr:cNvSpPr>
            <a:spLocks noChangeAspect="1"/>
          </xdr:cNvSpPr>
        </xdr:nvSpPr>
        <xdr:spPr bwMode="auto">
          <a:xfrm>
            <a:off x="1752602" y="27490220"/>
            <a:ext cx="381079" cy="228648"/>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88" name="Oval 87">
            <a:extLst>
              <a:ext uri="{FF2B5EF4-FFF2-40B4-BE49-F238E27FC236}">
                <a16:creationId xmlns:a16="http://schemas.microsoft.com/office/drawing/2014/main" id="{00000000-0008-0000-0C00-000058000000}"/>
              </a:ext>
            </a:extLst>
          </xdr:cNvPr>
          <xdr:cNvSpPr>
            <a:spLocks noChangeAspect="1"/>
          </xdr:cNvSpPr>
        </xdr:nvSpPr>
        <xdr:spPr bwMode="auto">
          <a:xfrm>
            <a:off x="2057405" y="2627102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89" name="Oval 88">
            <a:extLst>
              <a:ext uri="{FF2B5EF4-FFF2-40B4-BE49-F238E27FC236}">
                <a16:creationId xmlns:a16="http://schemas.microsoft.com/office/drawing/2014/main" id="{00000000-0008-0000-0C00-000059000000}"/>
              </a:ext>
            </a:extLst>
          </xdr:cNvPr>
          <xdr:cNvSpPr>
            <a:spLocks noChangeAspect="1"/>
          </xdr:cNvSpPr>
        </xdr:nvSpPr>
        <xdr:spPr bwMode="auto">
          <a:xfrm>
            <a:off x="2133602" y="26956820"/>
            <a:ext cx="381079" cy="228648"/>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90" name="Oval 89">
            <a:extLst>
              <a:ext uri="{FF2B5EF4-FFF2-40B4-BE49-F238E27FC236}">
                <a16:creationId xmlns:a16="http://schemas.microsoft.com/office/drawing/2014/main" id="{00000000-0008-0000-0C00-00005A000000}"/>
              </a:ext>
            </a:extLst>
          </xdr:cNvPr>
          <xdr:cNvSpPr>
            <a:spLocks noChangeAspect="1"/>
          </xdr:cNvSpPr>
        </xdr:nvSpPr>
        <xdr:spPr bwMode="auto">
          <a:xfrm>
            <a:off x="2438405" y="257833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91" name="Oval 90">
            <a:extLst>
              <a:ext uri="{FF2B5EF4-FFF2-40B4-BE49-F238E27FC236}">
                <a16:creationId xmlns:a16="http://schemas.microsoft.com/office/drawing/2014/main" id="{00000000-0008-0000-0C00-00005B000000}"/>
              </a:ext>
            </a:extLst>
          </xdr:cNvPr>
          <xdr:cNvSpPr>
            <a:spLocks noChangeAspect="1"/>
          </xdr:cNvSpPr>
        </xdr:nvSpPr>
        <xdr:spPr bwMode="auto">
          <a:xfrm>
            <a:off x="2895605" y="262405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92" name="Oval 91">
            <a:extLst>
              <a:ext uri="{FF2B5EF4-FFF2-40B4-BE49-F238E27FC236}">
                <a16:creationId xmlns:a16="http://schemas.microsoft.com/office/drawing/2014/main" id="{00000000-0008-0000-0C00-00005C000000}"/>
              </a:ext>
            </a:extLst>
          </xdr:cNvPr>
          <xdr:cNvSpPr>
            <a:spLocks noChangeAspect="1"/>
          </xdr:cNvSpPr>
        </xdr:nvSpPr>
        <xdr:spPr bwMode="auto">
          <a:xfrm>
            <a:off x="2514602" y="26804420"/>
            <a:ext cx="381079" cy="228648"/>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93" name="Oval 92">
            <a:extLst>
              <a:ext uri="{FF2B5EF4-FFF2-40B4-BE49-F238E27FC236}">
                <a16:creationId xmlns:a16="http://schemas.microsoft.com/office/drawing/2014/main" id="{00000000-0008-0000-0C00-00005D000000}"/>
              </a:ext>
            </a:extLst>
          </xdr:cNvPr>
          <xdr:cNvSpPr>
            <a:spLocks noChangeAspect="1"/>
          </xdr:cNvSpPr>
        </xdr:nvSpPr>
        <xdr:spPr bwMode="auto">
          <a:xfrm>
            <a:off x="2788925" y="254023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94" name="Oval 93">
            <a:extLst>
              <a:ext uri="{FF2B5EF4-FFF2-40B4-BE49-F238E27FC236}">
                <a16:creationId xmlns:a16="http://schemas.microsoft.com/office/drawing/2014/main" id="{00000000-0008-0000-0C00-00005E000000}"/>
              </a:ext>
            </a:extLst>
          </xdr:cNvPr>
          <xdr:cNvSpPr>
            <a:spLocks noChangeAspect="1"/>
          </xdr:cNvSpPr>
        </xdr:nvSpPr>
        <xdr:spPr bwMode="auto">
          <a:xfrm>
            <a:off x="3124205" y="244879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95" name="Oval 94">
            <a:extLst>
              <a:ext uri="{FF2B5EF4-FFF2-40B4-BE49-F238E27FC236}">
                <a16:creationId xmlns:a16="http://schemas.microsoft.com/office/drawing/2014/main" id="{00000000-0008-0000-0C00-00005F000000}"/>
              </a:ext>
            </a:extLst>
          </xdr:cNvPr>
          <xdr:cNvSpPr>
            <a:spLocks noChangeAspect="1"/>
          </xdr:cNvSpPr>
        </xdr:nvSpPr>
        <xdr:spPr bwMode="auto">
          <a:xfrm>
            <a:off x="3474725" y="2505182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96" name="Oval 95">
            <a:extLst>
              <a:ext uri="{FF2B5EF4-FFF2-40B4-BE49-F238E27FC236}">
                <a16:creationId xmlns:a16="http://schemas.microsoft.com/office/drawing/2014/main" id="{00000000-0008-0000-0C00-000060000000}"/>
              </a:ext>
            </a:extLst>
          </xdr:cNvPr>
          <xdr:cNvSpPr>
            <a:spLocks noChangeAspect="1"/>
          </xdr:cNvSpPr>
        </xdr:nvSpPr>
        <xdr:spPr bwMode="auto">
          <a:xfrm>
            <a:off x="3855725" y="2550902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97" name="Oval 96">
            <a:extLst>
              <a:ext uri="{FF2B5EF4-FFF2-40B4-BE49-F238E27FC236}">
                <a16:creationId xmlns:a16="http://schemas.microsoft.com/office/drawing/2014/main" id="{00000000-0008-0000-0C00-000061000000}"/>
              </a:ext>
            </a:extLst>
          </xdr:cNvPr>
          <xdr:cNvSpPr>
            <a:spLocks noChangeAspect="1"/>
          </xdr:cNvSpPr>
        </xdr:nvSpPr>
        <xdr:spPr bwMode="auto">
          <a:xfrm>
            <a:off x="4236725" y="257833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98" name="Oval 97">
            <a:extLst>
              <a:ext uri="{FF2B5EF4-FFF2-40B4-BE49-F238E27FC236}">
                <a16:creationId xmlns:a16="http://schemas.microsoft.com/office/drawing/2014/main" id="{00000000-0008-0000-0C00-000062000000}"/>
              </a:ext>
            </a:extLst>
          </xdr:cNvPr>
          <xdr:cNvSpPr>
            <a:spLocks noChangeAspect="1"/>
          </xdr:cNvSpPr>
        </xdr:nvSpPr>
        <xdr:spPr bwMode="auto">
          <a:xfrm>
            <a:off x="3581402" y="26575820"/>
            <a:ext cx="381079" cy="228648"/>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99" name="Oval 98">
            <a:extLst>
              <a:ext uri="{FF2B5EF4-FFF2-40B4-BE49-F238E27FC236}">
                <a16:creationId xmlns:a16="http://schemas.microsoft.com/office/drawing/2014/main" id="{00000000-0008-0000-0C00-000063000000}"/>
              </a:ext>
            </a:extLst>
          </xdr:cNvPr>
          <xdr:cNvSpPr>
            <a:spLocks noChangeAspect="1"/>
          </xdr:cNvSpPr>
        </xdr:nvSpPr>
        <xdr:spPr bwMode="auto">
          <a:xfrm>
            <a:off x="3962402" y="26956820"/>
            <a:ext cx="381079" cy="228648"/>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04" name="Oval 103">
            <a:extLst>
              <a:ext uri="{FF2B5EF4-FFF2-40B4-BE49-F238E27FC236}">
                <a16:creationId xmlns:a16="http://schemas.microsoft.com/office/drawing/2014/main" id="{00000000-0008-0000-0C00-000068000000}"/>
              </a:ext>
            </a:extLst>
          </xdr:cNvPr>
          <xdr:cNvSpPr>
            <a:spLocks noChangeAspect="1"/>
          </xdr:cNvSpPr>
        </xdr:nvSpPr>
        <xdr:spPr bwMode="auto">
          <a:xfrm>
            <a:off x="4267202" y="27337820"/>
            <a:ext cx="381079" cy="228648"/>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05" name="Oval 104">
            <a:extLst>
              <a:ext uri="{FF2B5EF4-FFF2-40B4-BE49-F238E27FC236}">
                <a16:creationId xmlns:a16="http://schemas.microsoft.com/office/drawing/2014/main" id="{00000000-0008-0000-0C00-000069000000}"/>
              </a:ext>
            </a:extLst>
          </xdr:cNvPr>
          <xdr:cNvSpPr>
            <a:spLocks noChangeAspect="1"/>
          </xdr:cNvSpPr>
        </xdr:nvSpPr>
        <xdr:spPr bwMode="auto">
          <a:xfrm>
            <a:off x="3352805" y="261643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06" name="Oval 105">
            <a:extLst>
              <a:ext uri="{FF2B5EF4-FFF2-40B4-BE49-F238E27FC236}">
                <a16:creationId xmlns:a16="http://schemas.microsoft.com/office/drawing/2014/main" id="{00000000-0008-0000-0C00-00006A000000}"/>
              </a:ext>
            </a:extLst>
          </xdr:cNvPr>
          <xdr:cNvSpPr>
            <a:spLocks noChangeAspect="1"/>
          </xdr:cNvSpPr>
        </xdr:nvSpPr>
        <xdr:spPr bwMode="auto">
          <a:xfrm>
            <a:off x="4617724" y="2535662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09" name="Oval 108">
            <a:extLst>
              <a:ext uri="{FF2B5EF4-FFF2-40B4-BE49-F238E27FC236}">
                <a16:creationId xmlns:a16="http://schemas.microsoft.com/office/drawing/2014/main" id="{00000000-0008-0000-0C00-00006D000000}"/>
              </a:ext>
            </a:extLst>
          </xdr:cNvPr>
          <xdr:cNvSpPr>
            <a:spLocks noChangeAspect="1"/>
          </xdr:cNvSpPr>
        </xdr:nvSpPr>
        <xdr:spPr bwMode="auto">
          <a:xfrm>
            <a:off x="4770124" y="273073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10" name="Oval 109">
            <a:extLst>
              <a:ext uri="{FF2B5EF4-FFF2-40B4-BE49-F238E27FC236}">
                <a16:creationId xmlns:a16="http://schemas.microsoft.com/office/drawing/2014/main" id="{00000000-0008-0000-0C00-00006E000000}"/>
              </a:ext>
            </a:extLst>
          </xdr:cNvPr>
          <xdr:cNvSpPr>
            <a:spLocks noChangeAspect="1"/>
          </xdr:cNvSpPr>
        </xdr:nvSpPr>
        <xdr:spPr bwMode="auto">
          <a:xfrm>
            <a:off x="5029204" y="2467082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12" name="Oval 111">
            <a:extLst>
              <a:ext uri="{FF2B5EF4-FFF2-40B4-BE49-F238E27FC236}">
                <a16:creationId xmlns:a16="http://schemas.microsoft.com/office/drawing/2014/main" id="{00000000-0008-0000-0C00-000070000000}"/>
              </a:ext>
            </a:extLst>
          </xdr:cNvPr>
          <xdr:cNvSpPr>
            <a:spLocks noChangeAspect="1"/>
          </xdr:cNvSpPr>
        </xdr:nvSpPr>
        <xdr:spPr bwMode="auto">
          <a:xfrm>
            <a:off x="5151124" y="257833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13" name="Oval 112">
            <a:extLst>
              <a:ext uri="{FF2B5EF4-FFF2-40B4-BE49-F238E27FC236}">
                <a16:creationId xmlns:a16="http://schemas.microsoft.com/office/drawing/2014/main" id="{00000000-0008-0000-0C00-000071000000}"/>
              </a:ext>
            </a:extLst>
          </xdr:cNvPr>
          <xdr:cNvSpPr>
            <a:spLocks noChangeAspect="1"/>
          </xdr:cNvSpPr>
        </xdr:nvSpPr>
        <xdr:spPr bwMode="auto">
          <a:xfrm>
            <a:off x="5334004" y="2436602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14" name="Oval 113">
            <a:extLst>
              <a:ext uri="{FF2B5EF4-FFF2-40B4-BE49-F238E27FC236}">
                <a16:creationId xmlns:a16="http://schemas.microsoft.com/office/drawing/2014/main" id="{00000000-0008-0000-0C00-000072000000}"/>
              </a:ext>
            </a:extLst>
          </xdr:cNvPr>
          <xdr:cNvSpPr>
            <a:spLocks noChangeAspect="1"/>
          </xdr:cNvSpPr>
        </xdr:nvSpPr>
        <xdr:spPr bwMode="auto">
          <a:xfrm>
            <a:off x="5562604" y="258595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15" name="Oval 114">
            <a:extLst>
              <a:ext uri="{FF2B5EF4-FFF2-40B4-BE49-F238E27FC236}">
                <a16:creationId xmlns:a16="http://schemas.microsoft.com/office/drawing/2014/main" id="{00000000-0008-0000-0C00-000073000000}"/>
              </a:ext>
            </a:extLst>
          </xdr:cNvPr>
          <xdr:cNvSpPr>
            <a:spLocks noChangeAspect="1"/>
          </xdr:cNvSpPr>
        </xdr:nvSpPr>
        <xdr:spPr bwMode="auto">
          <a:xfrm>
            <a:off x="5715004" y="248689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16" name="Oval 115">
            <a:extLst>
              <a:ext uri="{FF2B5EF4-FFF2-40B4-BE49-F238E27FC236}">
                <a16:creationId xmlns:a16="http://schemas.microsoft.com/office/drawing/2014/main" id="{00000000-0008-0000-0C00-000074000000}"/>
              </a:ext>
            </a:extLst>
          </xdr:cNvPr>
          <xdr:cNvSpPr>
            <a:spLocks noChangeAspect="1"/>
          </xdr:cNvSpPr>
        </xdr:nvSpPr>
        <xdr:spPr bwMode="auto">
          <a:xfrm>
            <a:off x="6065524" y="256309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17" name="Oval 116">
            <a:extLst>
              <a:ext uri="{FF2B5EF4-FFF2-40B4-BE49-F238E27FC236}">
                <a16:creationId xmlns:a16="http://schemas.microsoft.com/office/drawing/2014/main" id="{00000000-0008-0000-0C00-000075000000}"/>
              </a:ext>
            </a:extLst>
          </xdr:cNvPr>
          <xdr:cNvSpPr>
            <a:spLocks noChangeAspect="1"/>
          </xdr:cNvSpPr>
        </xdr:nvSpPr>
        <xdr:spPr bwMode="auto">
          <a:xfrm>
            <a:off x="6446524" y="2611862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18" name="Oval 117">
            <a:extLst>
              <a:ext uri="{FF2B5EF4-FFF2-40B4-BE49-F238E27FC236}">
                <a16:creationId xmlns:a16="http://schemas.microsoft.com/office/drawing/2014/main" id="{00000000-0008-0000-0C00-000076000000}"/>
              </a:ext>
            </a:extLst>
          </xdr:cNvPr>
          <xdr:cNvSpPr>
            <a:spLocks noChangeAspect="1"/>
          </xdr:cNvSpPr>
        </xdr:nvSpPr>
        <xdr:spPr bwMode="auto">
          <a:xfrm>
            <a:off x="6781804" y="263929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19" name="Oval 118">
            <a:extLst>
              <a:ext uri="{FF2B5EF4-FFF2-40B4-BE49-F238E27FC236}">
                <a16:creationId xmlns:a16="http://schemas.microsoft.com/office/drawing/2014/main" id="{00000000-0008-0000-0C00-000077000000}"/>
              </a:ext>
            </a:extLst>
          </xdr:cNvPr>
          <xdr:cNvSpPr>
            <a:spLocks noChangeAspect="1"/>
          </xdr:cNvSpPr>
        </xdr:nvSpPr>
        <xdr:spPr bwMode="auto">
          <a:xfrm>
            <a:off x="6294124" y="2703302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20" name="Oval 119">
            <a:extLst>
              <a:ext uri="{FF2B5EF4-FFF2-40B4-BE49-F238E27FC236}">
                <a16:creationId xmlns:a16="http://schemas.microsoft.com/office/drawing/2014/main" id="{00000000-0008-0000-0C00-000078000000}"/>
              </a:ext>
            </a:extLst>
          </xdr:cNvPr>
          <xdr:cNvSpPr>
            <a:spLocks noChangeAspect="1"/>
          </xdr:cNvSpPr>
        </xdr:nvSpPr>
        <xdr:spPr bwMode="auto">
          <a:xfrm>
            <a:off x="6675124" y="2784074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21" name="Oval 120">
            <a:extLst>
              <a:ext uri="{FF2B5EF4-FFF2-40B4-BE49-F238E27FC236}">
                <a16:creationId xmlns:a16="http://schemas.microsoft.com/office/drawing/2014/main" id="{00000000-0008-0000-0C00-000079000000}"/>
              </a:ext>
            </a:extLst>
          </xdr:cNvPr>
          <xdr:cNvSpPr>
            <a:spLocks noChangeAspect="1"/>
          </xdr:cNvSpPr>
        </xdr:nvSpPr>
        <xdr:spPr bwMode="auto">
          <a:xfrm>
            <a:off x="7132324" y="26118627"/>
            <a:ext cx="182916" cy="182916"/>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22" name="Oval 121">
            <a:extLst>
              <a:ext uri="{FF2B5EF4-FFF2-40B4-BE49-F238E27FC236}">
                <a16:creationId xmlns:a16="http://schemas.microsoft.com/office/drawing/2014/main" id="{00000000-0008-0000-0C00-00007A000000}"/>
              </a:ext>
            </a:extLst>
          </xdr:cNvPr>
          <xdr:cNvSpPr>
            <a:spLocks noChangeAspect="1"/>
          </xdr:cNvSpPr>
        </xdr:nvSpPr>
        <xdr:spPr bwMode="auto">
          <a:xfrm>
            <a:off x="5791201" y="26575820"/>
            <a:ext cx="381079" cy="228648"/>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sp macro="" textlink="">
        <xdr:nvSpPr>
          <xdr:cNvPr id="123" name="Oval 122">
            <a:extLst>
              <a:ext uri="{FF2B5EF4-FFF2-40B4-BE49-F238E27FC236}">
                <a16:creationId xmlns:a16="http://schemas.microsoft.com/office/drawing/2014/main" id="{00000000-0008-0000-0C00-00007B000000}"/>
              </a:ext>
            </a:extLst>
          </xdr:cNvPr>
          <xdr:cNvSpPr>
            <a:spLocks noChangeAspect="1"/>
          </xdr:cNvSpPr>
        </xdr:nvSpPr>
        <xdr:spPr bwMode="auto">
          <a:xfrm>
            <a:off x="6858001" y="27414020"/>
            <a:ext cx="381079" cy="228648"/>
          </a:xfrm>
          <a:prstGeom prst="ellipse">
            <a:avLst/>
          </a:prstGeom>
          <a:noFill/>
          <a:ln w="12700" cap="flat" cmpd="sng" algn="ctr">
            <a:solidFill>
              <a:srgbClr val="FF3300"/>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560</xdr:colOff>
      <xdr:row>39</xdr:row>
      <xdr:rowOff>52109</xdr:rowOff>
    </xdr:from>
    <xdr:to>
      <xdr:col>4</xdr:col>
      <xdr:colOff>286310</xdr:colOff>
      <xdr:row>46</xdr:row>
      <xdr:rowOff>109259</xdr:rowOff>
    </xdr:to>
    <xdr:pic>
      <xdr:nvPicPr>
        <xdr:cNvPr id="52817" name="Picture 1" descr="shows a cylindrical-shaped tank, which has straight sides and a round top and bottom">
          <a:extLst>
            <a:ext uri="{FF2B5EF4-FFF2-40B4-BE49-F238E27FC236}">
              <a16:creationId xmlns:a16="http://schemas.microsoft.com/office/drawing/2014/main" id="{00000000-0008-0000-0D00-000051CE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2766" y="511550"/>
          <a:ext cx="1495985" cy="1155327"/>
        </a:xfrm>
        <a:prstGeom prst="rect">
          <a:avLst/>
        </a:prstGeom>
        <a:noFill/>
        <a:ln w="9525">
          <a:noFill/>
          <a:miter lim="800000"/>
          <a:headEnd/>
          <a:tailEnd/>
        </a:ln>
      </xdr:spPr>
    </xdr:pic>
    <xdr:clientData/>
  </xdr:twoCellAnchor>
  <xdr:twoCellAnchor editAs="oneCell">
    <xdr:from>
      <xdr:col>8</xdr:col>
      <xdr:colOff>514350</xdr:colOff>
      <xdr:row>39</xdr:row>
      <xdr:rowOff>52109</xdr:rowOff>
    </xdr:from>
    <xdr:to>
      <xdr:col>11</xdr:col>
      <xdr:colOff>85725</xdr:colOff>
      <xdr:row>50</xdr:row>
      <xdr:rowOff>4484</xdr:rowOff>
    </xdr:to>
    <xdr:pic>
      <xdr:nvPicPr>
        <xdr:cNvPr id="52818" name="Picture 3" descr="shows a hydropillar-shaped tank, which has a cylindrical shaped top, setting on a triangular cone on top of a riser.">
          <a:extLst>
            <a:ext uri="{FF2B5EF4-FFF2-40B4-BE49-F238E27FC236}">
              <a16:creationId xmlns:a16="http://schemas.microsoft.com/office/drawing/2014/main" id="{00000000-0008-0000-0D00-000052CE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37262" y="511550"/>
          <a:ext cx="1386728" cy="1678081"/>
        </a:xfrm>
        <a:prstGeom prst="rect">
          <a:avLst/>
        </a:prstGeom>
        <a:noFill/>
        <a:ln w="9525">
          <a:noFill/>
          <a:miter lim="800000"/>
          <a:headEnd/>
          <a:tailEnd/>
        </a:ln>
      </xdr:spPr>
    </xdr:pic>
    <xdr:clientData/>
  </xdr:twoCellAnchor>
  <xdr:twoCellAnchor editAs="oneCell">
    <xdr:from>
      <xdr:col>4</xdr:col>
      <xdr:colOff>514350</xdr:colOff>
      <xdr:row>39</xdr:row>
      <xdr:rowOff>52109</xdr:rowOff>
    </xdr:from>
    <xdr:to>
      <xdr:col>8</xdr:col>
      <xdr:colOff>161925</xdr:colOff>
      <xdr:row>47</xdr:row>
      <xdr:rowOff>4484</xdr:rowOff>
    </xdr:to>
    <xdr:pic>
      <xdr:nvPicPr>
        <xdr:cNvPr id="52819" name="Picture 4" descr="shows a rectangular-shaped tank.">
          <a:extLst>
            <a:ext uri="{FF2B5EF4-FFF2-40B4-BE49-F238E27FC236}">
              <a16:creationId xmlns:a16="http://schemas.microsoft.com/office/drawing/2014/main" id="{00000000-0008-0000-0D00-000053CE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116791" y="511550"/>
          <a:ext cx="2068046" cy="1207434"/>
        </a:xfrm>
        <a:prstGeom prst="rect">
          <a:avLst/>
        </a:prstGeom>
        <a:noFill/>
        <a:ln w="9525">
          <a:noFill/>
          <a:miter lim="800000"/>
          <a:headEnd/>
          <a:tailEnd/>
        </a:ln>
      </xdr:spPr>
    </xdr:pic>
    <xdr:clientData/>
  </xdr:twoCellAnchor>
  <xdr:twoCellAnchor>
    <xdr:from>
      <xdr:col>2</xdr:col>
      <xdr:colOff>441263</xdr:colOff>
      <xdr:row>24</xdr:row>
      <xdr:rowOff>78150</xdr:rowOff>
    </xdr:from>
    <xdr:to>
      <xdr:col>5</xdr:col>
      <xdr:colOff>542478</xdr:colOff>
      <xdr:row>35</xdr:row>
      <xdr:rowOff>136720</xdr:rowOff>
    </xdr:to>
    <xdr:grpSp>
      <xdr:nvGrpSpPr>
        <xdr:cNvPr id="52820" name="Group 5" descr="shows a cylindrical-shaped tank">
          <a:extLst>
            <a:ext uri="{FF2B5EF4-FFF2-40B4-BE49-F238E27FC236}">
              <a16:creationId xmlns:a16="http://schemas.microsoft.com/office/drawing/2014/main" id="{00000000-0008-0000-0D00-000054CE0000}"/>
            </a:ext>
          </a:extLst>
        </xdr:cNvPr>
        <xdr:cNvGrpSpPr>
          <a:grpSpLocks/>
        </xdr:cNvGrpSpPr>
      </xdr:nvGrpSpPr>
      <xdr:grpSpPr bwMode="auto">
        <a:xfrm>
          <a:off x="843430" y="3856400"/>
          <a:ext cx="2009390" cy="1807995"/>
          <a:chOff x="55" y="291"/>
          <a:chExt cx="225" cy="182"/>
        </a:xfrm>
      </xdr:grpSpPr>
      <xdr:sp macro="" textlink="">
        <xdr:nvSpPr>
          <xdr:cNvPr id="52870" name="AutoShape 6">
            <a:extLst>
              <a:ext uri="{FF2B5EF4-FFF2-40B4-BE49-F238E27FC236}">
                <a16:creationId xmlns:a16="http://schemas.microsoft.com/office/drawing/2014/main" id="{00000000-0008-0000-0D00-000086CE0000}"/>
              </a:ext>
            </a:extLst>
          </xdr:cNvPr>
          <xdr:cNvSpPr>
            <a:spLocks noChangeArrowheads="1"/>
          </xdr:cNvSpPr>
        </xdr:nvSpPr>
        <xdr:spPr bwMode="auto">
          <a:xfrm>
            <a:off x="56" y="322"/>
            <a:ext cx="153" cy="81"/>
          </a:xfrm>
          <a:prstGeom prst="can">
            <a:avLst>
              <a:gd name="adj" fmla="val 25000"/>
            </a:avLst>
          </a:prstGeom>
          <a:solidFill>
            <a:srgbClr val="CCFFFF"/>
          </a:solidFill>
          <a:ln w="9525">
            <a:solidFill>
              <a:srgbClr val="000000"/>
            </a:solidFill>
            <a:round/>
            <a:headEnd/>
            <a:tailEnd/>
          </a:ln>
        </xdr:spPr>
      </xdr:sp>
      <xdr:sp macro="" textlink="">
        <xdr:nvSpPr>
          <xdr:cNvPr id="52871" name="AutoShape 7">
            <a:extLst>
              <a:ext uri="{FF2B5EF4-FFF2-40B4-BE49-F238E27FC236}">
                <a16:creationId xmlns:a16="http://schemas.microsoft.com/office/drawing/2014/main" id="{00000000-0008-0000-0D00-000087CE0000}"/>
              </a:ext>
            </a:extLst>
          </xdr:cNvPr>
          <xdr:cNvSpPr>
            <a:spLocks noChangeArrowheads="1"/>
          </xdr:cNvSpPr>
        </xdr:nvSpPr>
        <xdr:spPr bwMode="auto">
          <a:xfrm>
            <a:off x="55" y="308"/>
            <a:ext cx="154" cy="96"/>
          </a:xfrm>
          <a:prstGeom prst="can">
            <a:avLst>
              <a:gd name="adj" fmla="val 25000"/>
            </a:avLst>
          </a:prstGeom>
          <a:noFill/>
          <a:ln w="9525">
            <a:solidFill>
              <a:srgbClr val="000000"/>
            </a:solidFill>
            <a:round/>
            <a:headEnd/>
            <a:tailEnd/>
          </a:ln>
        </xdr:spPr>
      </xdr:sp>
      <xdr:sp macro="" textlink="">
        <xdr:nvSpPr>
          <xdr:cNvPr id="52872" name="Rectangle 8">
            <a:extLst>
              <a:ext uri="{FF2B5EF4-FFF2-40B4-BE49-F238E27FC236}">
                <a16:creationId xmlns:a16="http://schemas.microsoft.com/office/drawing/2014/main" id="{00000000-0008-0000-0D00-000088CE0000}"/>
              </a:ext>
            </a:extLst>
          </xdr:cNvPr>
          <xdr:cNvSpPr>
            <a:spLocks noChangeArrowheads="1"/>
          </xdr:cNvSpPr>
        </xdr:nvSpPr>
        <xdr:spPr bwMode="auto">
          <a:xfrm>
            <a:off x="120" y="404"/>
            <a:ext cx="23" cy="45"/>
          </a:xfrm>
          <a:prstGeom prst="rect">
            <a:avLst/>
          </a:prstGeom>
          <a:solidFill>
            <a:srgbClr val="CCFFFF"/>
          </a:solidFill>
          <a:ln w="9525">
            <a:solidFill>
              <a:srgbClr val="000000"/>
            </a:solidFill>
            <a:miter lim="800000"/>
            <a:headEnd/>
            <a:tailEnd/>
          </a:ln>
        </xdr:spPr>
      </xdr:sp>
      <xdr:sp macro="" textlink="">
        <xdr:nvSpPr>
          <xdr:cNvPr id="52873" name="Line 9">
            <a:extLst>
              <a:ext uri="{FF2B5EF4-FFF2-40B4-BE49-F238E27FC236}">
                <a16:creationId xmlns:a16="http://schemas.microsoft.com/office/drawing/2014/main" id="{00000000-0008-0000-0D00-000089CE0000}"/>
              </a:ext>
            </a:extLst>
          </xdr:cNvPr>
          <xdr:cNvSpPr>
            <a:spLocks noChangeShapeType="1"/>
          </xdr:cNvSpPr>
        </xdr:nvSpPr>
        <xdr:spPr bwMode="auto">
          <a:xfrm flipV="1">
            <a:off x="131" y="427"/>
            <a:ext cx="0" cy="41"/>
          </a:xfrm>
          <a:prstGeom prst="line">
            <a:avLst/>
          </a:prstGeom>
          <a:noFill/>
          <a:ln w="9525">
            <a:solidFill>
              <a:srgbClr val="000000"/>
            </a:solidFill>
            <a:round/>
            <a:headEnd/>
            <a:tailEnd type="triangle" w="med" len="med"/>
          </a:ln>
        </xdr:spPr>
      </xdr:sp>
      <xdr:sp macro="" textlink="">
        <xdr:nvSpPr>
          <xdr:cNvPr id="52234" name="Text Box 10">
            <a:extLst>
              <a:ext uri="{FF2B5EF4-FFF2-40B4-BE49-F238E27FC236}">
                <a16:creationId xmlns:a16="http://schemas.microsoft.com/office/drawing/2014/main" id="{00000000-0008-0000-0D00-00000ACC0000}"/>
              </a:ext>
            </a:extLst>
          </xdr:cNvPr>
          <xdr:cNvSpPr txBox="1">
            <a:spLocks noChangeArrowheads="1"/>
          </xdr:cNvSpPr>
        </xdr:nvSpPr>
        <xdr:spPr bwMode="auto">
          <a:xfrm>
            <a:off x="136" y="455"/>
            <a:ext cx="78" cy="18"/>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Water Flow</a:t>
            </a:r>
            <a:endParaRPr lang="en-US"/>
          </a:p>
        </xdr:txBody>
      </xdr:sp>
      <xdr:sp macro="" textlink="">
        <xdr:nvSpPr>
          <xdr:cNvPr id="52875" name="Line 11">
            <a:extLst>
              <a:ext uri="{FF2B5EF4-FFF2-40B4-BE49-F238E27FC236}">
                <a16:creationId xmlns:a16="http://schemas.microsoft.com/office/drawing/2014/main" id="{00000000-0008-0000-0D00-00008BCE0000}"/>
              </a:ext>
            </a:extLst>
          </xdr:cNvPr>
          <xdr:cNvSpPr>
            <a:spLocks noChangeShapeType="1"/>
          </xdr:cNvSpPr>
        </xdr:nvSpPr>
        <xdr:spPr bwMode="auto">
          <a:xfrm>
            <a:off x="121" y="421"/>
            <a:ext cx="23" cy="0"/>
          </a:xfrm>
          <a:prstGeom prst="line">
            <a:avLst/>
          </a:prstGeom>
          <a:noFill/>
          <a:ln w="9525">
            <a:solidFill>
              <a:srgbClr val="000000"/>
            </a:solidFill>
            <a:round/>
            <a:headEnd type="triangle" w="med" len="med"/>
            <a:tailEnd type="triangle" w="med" len="med"/>
          </a:ln>
        </xdr:spPr>
      </xdr:sp>
      <xdr:sp macro="" textlink="">
        <xdr:nvSpPr>
          <xdr:cNvPr id="52236" name="Text Box 12">
            <a:extLst>
              <a:ext uri="{FF2B5EF4-FFF2-40B4-BE49-F238E27FC236}">
                <a16:creationId xmlns:a16="http://schemas.microsoft.com/office/drawing/2014/main" id="{00000000-0008-0000-0D00-00000CCC0000}"/>
              </a:ext>
            </a:extLst>
          </xdr:cNvPr>
          <xdr:cNvSpPr txBox="1">
            <a:spLocks noChangeArrowheads="1"/>
          </xdr:cNvSpPr>
        </xdr:nvSpPr>
        <xdr:spPr bwMode="auto">
          <a:xfrm>
            <a:off x="157" y="417"/>
            <a:ext cx="123" cy="18"/>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Inlet diameter (d)</a:t>
            </a:r>
            <a:endParaRPr lang="en-US"/>
          </a:p>
        </xdr:txBody>
      </xdr:sp>
      <xdr:sp macro="" textlink="">
        <xdr:nvSpPr>
          <xdr:cNvPr id="52877" name="Line 13">
            <a:extLst>
              <a:ext uri="{FF2B5EF4-FFF2-40B4-BE49-F238E27FC236}">
                <a16:creationId xmlns:a16="http://schemas.microsoft.com/office/drawing/2014/main" id="{00000000-0008-0000-0D00-00008DCE0000}"/>
              </a:ext>
            </a:extLst>
          </xdr:cNvPr>
          <xdr:cNvSpPr>
            <a:spLocks noChangeShapeType="1"/>
          </xdr:cNvSpPr>
        </xdr:nvSpPr>
        <xdr:spPr bwMode="auto">
          <a:xfrm>
            <a:off x="55" y="366"/>
            <a:ext cx="154" cy="0"/>
          </a:xfrm>
          <a:prstGeom prst="line">
            <a:avLst/>
          </a:prstGeom>
          <a:noFill/>
          <a:ln w="9525">
            <a:solidFill>
              <a:srgbClr val="000000"/>
            </a:solidFill>
            <a:round/>
            <a:headEnd type="triangle" w="med" len="med"/>
            <a:tailEnd type="triangle" w="med" len="med"/>
          </a:ln>
        </xdr:spPr>
      </xdr:sp>
      <xdr:sp macro="" textlink="">
        <xdr:nvSpPr>
          <xdr:cNvPr id="52238" name="Text Box 14">
            <a:extLst>
              <a:ext uri="{FF2B5EF4-FFF2-40B4-BE49-F238E27FC236}">
                <a16:creationId xmlns:a16="http://schemas.microsoft.com/office/drawing/2014/main" id="{00000000-0008-0000-0D00-00000ECC0000}"/>
              </a:ext>
            </a:extLst>
          </xdr:cNvPr>
          <xdr:cNvSpPr txBox="1">
            <a:spLocks noChangeArrowheads="1"/>
          </xdr:cNvSpPr>
        </xdr:nvSpPr>
        <xdr:spPr bwMode="auto">
          <a:xfrm>
            <a:off x="76" y="364"/>
            <a:ext cx="131"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Tank Diameter (D)</a:t>
            </a:r>
            <a:endParaRPr lang="en-US"/>
          </a:p>
        </xdr:txBody>
      </xdr:sp>
      <xdr:sp macro="" textlink="">
        <xdr:nvSpPr>
          <xdr:cNvPr id="52879" name="Line 15">
            <a:extLst>
              <a:ext uri="{FF2B5EF4-FFF2-40B4-BE49-F238E27FC236}">
                <a16:creationId xmlns:a16="http://schemas.microsoft.com/office/drawing/2014/main" id="{00000000-0008-0000-0D00-00008FCE0000}"/>
              </a:ext>
            </a:extLst>
          </xdr:cNvPr>
          <xdr:cNvSpPr>
            <a:spLocks noChangeShapeType="1"/>
          </xdr:cNvSpPr>
        </xdr:nvSpPr>
        <xdr:spPr bwMode="auto">
          <a:xfrm>
            <a:off x="215" y="332"/>
            <a:ext cx="0" cy="60"/>
          </a:xfrm>
          <a:prstGeom prst="line">
            <a:avLst/>
          </a:prstGeom>
          <a:noFill/>
          <a:ln w="9525">
            <a:solidFill>
              <a:srgbClr val="000000"/>
            </a:solidFill>
            <a:round/>
            <a:headEnd type="triangle" w="med" len="med"/>
            <a:tailEnd type="triangle" w="med" len="med"/>
          </a:ln>
        </xdr:spPr>
      </xdr:sp>
      <xdr:sp macro="" textlink="">
        <xdr:nvSpPr>
          <xdr:cNvPr id="52240" name="Text Box 16">
            <a:extLst>
              <a:ext uri="{FF2B5EF4-FFF2-40B4-BE49-F238E27FC236}">
                <a16:creationId xmlns:a16="http://schemas.microsoft.com/office/drawing/2014/main" id="{00000000-0008-0000-0D00-000010CC0000}"/>
              </a:ext>
            </a:extLst>
          </xdr:cNvPr>
          <xdr:cNvSpPr txBox="1">
            <a:spLocks noChangeArrowheads="1"/>
          </xdr:cNvSpPr>
        </xdr:nvSpPr>
        <xdr:spPr bwMode="auto">
          <a:xfrm>
            <a:off x="227" y="291"/>
            <a:ext cx="46" cy="112"/>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vert270" wrap="none" lIns="18288" tIns="22860" rIns="0" bIns="22860" anchor="t" upright="1">
            <a:spAutoFit/>
          </a:bodyPr>
          <a:lstStyle/>
          <a:p>
            <a:pPr algn="ctr" rtl="0">
              <a:lnSpc>
                <a:spcPts val="900"/>
              </a:lnSpc>
              <a:defRPr sz="1000"/>
            </a:pPr>
            <a:r>
              <a:rPr lang="en-US" sz="1000" b="0" i="0" u="none" strike="noStrike" baseline="0">
                <a:solidFill>
                  <a:srgbClr val="000000"/>
                </a:solidFill>
                <a:latin typeface="Arial"/>
                <a:cs typeface="Arial"/>
              </a:rPr>
              <a:t>Maximum Operating </a:t>
            </a:r>
          </a:p>
          <a:p>
            <a:pPr algn="ctr" rtl="0">
              <a:lnSpc>
                <a:spcPts val="900"/>
              </a:lnSpc>
              <a:defRPr sz="1000"/>
            </a:pPr>
            <a:r>
              <a:rPr lang="en-US" sz="1000" b="0" i="0" u="none" strike="noStrike" baseline="0">
                <a:solidFill>
                  <a:srgbClr val="000000"/>
                </a:solidFill>
                <a:latin typeface="Arial"/>
                <a:cs typeface="Arial"/>
              </a:rPr>
              <a:t>Water Depth (H)</a:t>
            </a:r>
            <a:endParaRPr lang="en-US"/>
          </a:p>
        </xdr:txBody>
      </xdr:sp>
    </xdr:grpSp>
    <xdr:clientData/>
  </xdr:twoCellAnchor>
  <xdr:twoCellAnchor>
    <xdr:from>
      <xdr:col>6</xdr:col>
      <xdr:colOff>76200</xdr:colOff>
      <xdr:row>24</xdr:row>
      <xdr:rowOff>109925</xdr:rowOff>
    </xdr:from>
    <xdr:to>
      <xdr:col>10</xdr:col>
      <xdr:colOff>38100</xdr:colOff>
      <xdr:row>36</xdr:row>
      <xdr:rowOff>76198</xdr:rowOff>
    </xdr:to>
    <xdr:grpSp>
      <xdr:nvGrpSpPr>
        <xdr:cNvPr id="52821" name="Group 17" descr="shows a hydropillar-shaped tank">
          <a:extLst>
            <a:ext uri="{FF2B5EF4-FFF2-40B4-BE49-F238E27FC236}">
              <a16:creationId xmlns:a16="http://schemas.microsoft.com/office/drawing/2014/main" id="{00000000-0008-0000-0D00-000055CE0000}"/>
            </a:ext>
          </a:extLst>
        </xdr:cNvPr>
        <xdr:cNvGrpSpPr>
          <a:grpSpLocks/>
        </xdr:cNvGrpSpPr>
      </xdr:nvGrpSpPr>
      <xdr:grpSpPr bwMode="auto">
        <a:xfrm>
          <a:off x="3018367" y="3885000"/>
          <a:ext cx="2501900" cy="1874448"/>
          <a:chOff x="294" y="298"/>
          <a:chExt cx="252" cy="187"/>
        </a:xfrm>
      </xdr:grpSpPr>
      <xdr:sp macro="" textlink="">
        <xdr:nvSpPr>
          <xdr:cNvPr id="52853" name="AutoShape 18">
            <a:extLst>
              <a:ext uri="{FF2B5EF4-FFF2-40B4-BE49-F238E27FC236}">
                <a16:creationId xmlns:a16="http://schemas.microsoft.com/office/drawing/2014/main" id="{00000000-0008-0000-0D00-000075CE0000}"/>
              </a:ext>
            </a:extLst>
          </xdr:cNvPr>
          <xdr:cNvSpPr>
            <a:spLocks noChangeArrowheads="1"/>
          </xdr:cNvSpPr>
        </xdr:nvSpPr>
        <xdr:spPr bwMode="auto">
          <a:xfrm>
            <a:off x="332" y="327"/>
            <a:ext cx="154" cy="43"/>
          </a:xfrm>
          <a:prstGeom prst="can">
            <a:avLst>
              <a:gd name="adj" fmla="val 25000"/>
            </a:avLst>
          </a:prstGeom>
          <a:solidFill>
            <a:srgbClr val="CCFFFF"/>
          </a:solidFill>
          <a:ln w="9525">
            <a:solidFill>
              <a:srgbClr val="000000"/>
            </a:solidFill>
            <a:round/>
            <a:headEnd/>
            <a:tailEnd/>
          </a:ln>
        </xdr:spPr>
      </xdr:sp>
      <xdr:sp macro="" textlink="">
        <xdr:nvSpPr>
          <xdr:cNvPr id="52854" name="AutoShape 19">
            <a:extLst>
              <a:ext uri="{FF2B5EF4-FFF2-40B4-BE49-F238E27FC236}">
                <a16:creationId xmlns:a16="http://schemas.microsoft.com/office/drawing/2014/main" id="{00000000-0008-0000-0D00-000076CE0000}"/>
              </a:ext>
            </a:extLst>
          </xdr:cNvPr>
          <xdr:cNvSpPr>
            <a:spLocks noChangeArrowheads="1"/>
          </xdr:cNvSpPr>
        </xdr:nvSpPr>
        <xdr:spPr bwMode="auto">
          <a:xfrm>
            <a:off x="332" y="313"/>
            <a:ext cx="154" cy="60"/>
          </a:xfrm>
          <a:prstGeom prst="can">
            <a:avLst>
              <a:gd name="adj" fmla="val 25000"/>
            </a:avLst>
          </a:prstGeom>
          <a:noFill/>
          <a:ln w="9525">
            <a:solidFill>
              <a:srgbClr val="000000"/>
            </a:solidFill>
            <a:round/>
            <a:headEnd/>
            <a:tailEnd/>
          </a:ln>
        </xdr:spPr>
      </xdr:sp>
      <xdr:sp macro="" textlink="">
        <xdr:nvSpPr>
          <xdr:cNvPr id="52855" name="AutoShape 20">
            <a:extLst>
              <a:ext uri="{FF2B5EF4-FFF2-40B4-BE49-F238E27FC236}">
                <a16:creationId xmlns:a16="http://schemas.microsoft.com/office/drawing/2014/main" id="{00000000-0008-0000-0D00-000077CE0000}"/>
              </a:ext>
            </a:extLst>
          </xdr:cNvPr>
          <xdr:cNvSpPr>
            <a:spLocks noChangeArrowheads="1"/>
          </xdr:cNvSpPr>
        </xdr:nvSpPr>
        <xdr:spPr bwMode="auto">
          <a:xfrm>
            <a:off x="331" y="367"/>
            <a:ext cx="155" cy="35"/>
          </a:xfrm>
          <a:prstGeom prst="flowChartManualOperation">
            <a:avLst/>
          </a:prstGeom>
          <a:solidFill>
            <a:srgbClr val="CCFFFF"/>
          </a:solidFill>
          <a:ln w="9525">
            <a:solidFill>
              <a:srgbClr val="000000"/>
            </a:solidFill>
            <a:miter lim="800000"/>
            <a:headEnd/>
            <a:tailEnd/>
          </a:ln>
        </xdr:spPr>
      </xdr:sp>
      <xdr:sp macro="" textlink="">
        <xdr:nvSpPr>
          <xdr:cNvPr id="52856" name="Rectangle 21">
            <a:extLst>
              <a:ext uri="{FF2B5EF4-FFF2-40B4-BE49-F238E27FC236}">
                <a16:creationId xmlns:a16="http://schemas.microsoft.com/office/drawing/2014/main" id="{00000000-0008-0000-0D00-000078CE0000}"/>
              </a:ext>
            </a:extLst>
          </xdr:cNvPr>
          <xdr:cNvSpPr>
            <a:spLocks noChangeArrowheads="1"/>
          </xdr:cNvSpPr>
        </xdr:nvSpPr>
        <xdr:spPr bwMode="auto">
          <a:xfrm>
            <a:off x="362" y="401"/>
            <a:ext cx="93" cy="55"/>
          </a:xfrm>
          <a:prstGeom prst="rect">
            <a:avLst/>
          </a:prstGeom>
          <a:solidFill>
            <a:srgbClr val="FFFFFF"/>
          </a:solidFill>
          <a:ln w="9525">
            <a:solidFill>
              <a:srgbClr val="000000"/>
            </a:solidFill>
            <a:miter lim="800000"/>
            <a:headEnd/>
            <a:tailEnd/>
          </a:ln>
        </xdr:spPr>
      </xdr:sp>
      <xdr:sp macro="" textlink="">
        <xdr:nvSpPr>
          <xdr:cNvPr id="52857" name="Rectangle 22">
            <a:extLst>
              <a:ext uri="{FF2B5EF4-FFF2-40B4-BE49-F238E27FC236}">
                <a16:creationId xmlns:a16="http://schemas.microsoft.com/office/drawing/2014/main" id="{00000000-0008-0000-0D00-000079CE0000}"/>
              </a:ext>
            </a:extLst>
          </xdr:cNvPr>
          <xdr:cNvSpPr>
            <a:spLocks noChangeArrowheads="1"/>
          </xdr:cNvSpPr>
        </xdr:nvSpPr>
        <xdr:spPr bwMode="auto">
          <a:xfrm>
            <a:off x="400" y="402"/>
            <a:ext cx="23" cy="53"/>
          </a:xfrm>
          <a:prstGeom prst="rect">
            <a:avLst/>
          </a:prstGeom>
          <a:solidFill>
            <a:srgbClr val="CCFFFF"/>
          </a:solidFill>
          <a:ln w="9525">
            <a:solidFill>
              <a:srgbClr val="000000"/>
            </a:solidFill>
            <a:miter lim="800000"/>
            <a:headEnd/>
            <a:tailEnd/>
          </a:ln>
        </xdr:spPr>
      </xdr:sp>
      <xdr:sp macro="" textlink="">
        <xdr:nvSpPr>
          <xdr:cNvPr id="52858" name="Line 23">
            <a:extLst>
              <a:ext uri="{FF2B5EF4-FFF2-40B4-BE49-F238E27FC236}">
                <a16:creationId xmlns:a16="http://schemas.microsoft.com/office/drawing/2014/main" id="{00000000-0008-0000-0D00-00007ACE0000}"/>
              </a:ext>
            </a:extLst>
          </xdr:cNvPr>
          <xdr:cNvSpPr>
            <a:spLocks noChangeShapeType="1"/>
          </xdr:cNvSpPr>
        </xdr:nvSpPr>
        <xdr:spPr bwMode="auto">
          <a:xfrm flipV="1">
            <a:off x="411" y="438"/>
            <a:ext cx="0" cy="41"/>
          </a:xfrm>
          <a:prstGeom prst="line">
            <a:avLst/>
          </a:prstGeom>
          <a:noFill/>
          <a:ln w="9525">
            <a:solidFill>
              <a:srgbClr val="000000"/>
            </a:solidFill>
            <a:round/>
            <a:headEnd/>
            <a:tailEnd type="triangle" w="med" len="med"/>
          </a:ln>
        </xdr:spPr>
      </xdr:sp>
      <xdr:sp macro="" textlink="">
        <xdr:nvSpPr>
          <xdr:cNvPr id="52248" name="Text Box 24">
            <a:extLst>
              <a:ext uri="{FF2B5EF4-FFF2-40B4-BE49-F238E27FC236}">
                <a16:creationId xmlns:a16="http://schemas.microsoft.com/office/drawing/2014/main" id="{00000000-0008-0000-0D00-000018CC0000}"/>
              </a:ext>
            </a:extLst>
          </xdr:cNvPr>
          <xdr:cNvSpPr txBox="1">
            <a:spLocks noChangeArrowheads="1"/>
          </xdr:cNvSpPr>
        </xdr:nvSpPr>
        <xdr:spPr bwMode="auto">
          <a:xfrm>
            <a:off x="422" y="467"/>
            <a:ext cx="71" cy="18"/>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Water Flow</a:t>
            </a:r>
            <a:endParaRPr lang="en-US"/>
          </a:p>
        </xdr:txBody>
      </xdr:sp>
      <xdr:sp macro="" textlink="">
        <xdr:nvSpPr>
          <xdr:cNvPr id="52860" name="Line 25">
            <a:extLst>
              <a:ext uri="{FF2B5EF4-FFF2-40B4-BE49-F238E27FC236}">
                <a16:creationId xmlns:a16="http://schemas.microsoft.com/office/drawing/2014/main" id="{00000000-0008-0000-0D00-00007CCE0000}"/>
              </a:ext>
            </a:extLst>
          </xdr:cNvPr>
          <xdr:cNvSpPr>
            <a:spLocks noChangeShapeType="1"/>
          </xdr:cNvSpPr>
        </xdr:nvSpPr>
        <xdr:spPr bwMode="auto">
          <a:xfrm>
            <a:off x="401" y="409"/>
            <a:ext cx="23" cy="0"/>
          </a:xfrm>
          <a:prstGeom prst="line">
            <a:avLst/>
          </a:prstGeom>
          <a:noFill/>
          <a:ln w="9525">
            <a:solidFill>
              <a:srgbClr val="000000"/>
            </a:solidFill>
            <a:round/>
            <a:headEnd type="triangle" w="med" len="med"/>
            <a:tailEnd type="triangle" w="med" len="med"/>
          </a:ln>
        </xdr:spPr>
      </xdr:sp>
      <xdr:sp macro="" textlink="">
        <xdr:nvSpPr>
          <xdr:cNvPr id="52250" name="Text Box 26">
            <a:extLst>
              <a:ext uri="{FF2B5EF4-FFF2-40B4-BE49-F238E27FC236}">
                <a16:creationId xmlns:a16="http://schemas.microsoft.com/office/drawing/2014/main" id="{00000000-0008-0000-0D00-00001ACC0000}"/>
              </a:ext>
            </a:extLst>
          </xdr:cNvPr>
          <xdr:cNvSpPr txBox="1">
            <a:spLocks noChangeArrowheads="1"/>
          </xdr:cNvSpPr>
        </xdr:nvSpPr>
        <xdr:spPr bwMode="auto">
          <a:xfrm>
            <a:off x="294" y="405"/>
            <a:ext cx="97" cy="18"/>
          </a:xfrm>
          <a:prstGeom prst="rect">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Inlet diameter (d)</a:t>
            </a:r>
            <a:endParaRPr lang="en-US"/>
          </a:p>
        </xdr:txBody>
      </xdr:sp>
      <xdr:sp macro="" textlink="">
        <xdr:nvSpPr>
          <xdr:cNvPr id="52862" name="Line 27">
            <a:extLst>
              <a:ext uri="{FF2B5EF4-FFF2-40B4-BE49-F238E27FC236}">
                <a16:creationId xmlns:a16="http://schemas.microsoft.com/office/drawing/2014/main" id="{00000000-0008-0000-0D00-00007ECE0000}"/>
              </a:ext>
            </a:extLst>
          </xdr:cNvPr>
          <xdr:cNvSpPr>
            <a:spLocks noChangeShapeType="1"/>
          </xdr:cNvSpPr>
        </xdr:nvSpPr>
        <xdr:spPr bwMode="auto">
          <a:xfrm flipH="1">
            <a:off x="455" y="446"/>
            <a:ext cx="20" cy="0"/>
          </a:xfrm>
          <a:prstGeom prst="line">
            <a:avLst/>
          </a:prstGeom>
          <a:noFill/>
          <a:ln w="9525">
            <a:solidFill>
              <a:srgbClr val="000000"/>
            </a:solidFill>
            <a:round/>
            <a:headEnd/>
            <a:tailEnd type="triangle" w="med" len="med"/>
          </a:ln>
        </xdr:spPr>
      </xdr:sp>
      <xdr:sp macro="" textlink="">
        <xdr:nvSpPr>
          <xdr:cNvPr id="52252" name="Text Box 28">
            <a:extLst>
              <a:ext uri="{FF2B5EF4-FFF2-40B4-BE49-F238E27FC236}">
                <a16:creationId xmlns:a16="http://schemas.microsoft.com/office/drawing/2014/main" id="{00000000-0008-0000-0D00-00001CCC0000}"/>
              </a:ext>
            </a:extLst>
          </xdr:cNvPr>
          <xdr:cNvSpPr txBox="1">
            <a:spLocks noChangeArrowheads="1"/>
          </xdr:cNvSpPr>
        </xdr:nvSpPr>
        <xdr:spPr bwMode="auto">
          <a:xfrm>
            <a:off x="476" y="437"/>
            <a:ext cx="53" cy="19"/>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Dry riser</a:t>
            </a:r>
            <a:endParaRPr lang="en-US"/>
          </a:p>
        </xdr:txBody>
      </xdr:sp>
      <xdr:sp macro="" textlink="">
        <xdr:nvSpPr>
          <xdr:cNvPr id="52864" name="Line 29">
            <a:extLst>
              <a:ext uri="{FF2B5EF4-FFF2-40B4-BE49-F238E27FC236}">
                <a16:creationId xmlns:a16="http://schemas.microsoft.com/office/drawing/2014/main" id="{00000000-0008-0000-0D00-000080CE0000}"/>
              </a:ext>
            </a:extLst>
          </xdr:cNvPr>
          <xdr:cNvSpPr>
            <a:spLocks noChangeShapeType="1"/>
          </xdr:cNvSpPr>
        </xdr:nvSpPr>
        <xdr:spPr bwMode="auto">
          <a:xfrm flipH="1">
            <a:off x="425" y="419"/>
            <a:ext cx="48" cy="0"/>
          </a:xfrm>
          <a:prstGeom prst="line">
            <a:avLst/>
          </a:prstGeom>
          <a:noFill/>
          <a:ln w="9525">
            <a:solidFill>
              <a:srgbClr val="000000"/>
            </a:solidFill>
            <a:round/>
            <a:headEnd/>
            <a:tailEnd type="triangle" w="med" len="med"/>
          </a:ln>
        </xdr:spPr>
      </xdr:sp>
      <xdr:sp macro="" textlink="">
        <xdr:nvSpPr>
          <xdr:cNvPr id="52254" name="Text Box 30">
            <a:extLst>
              <a:ext uri="{FF2B5EF4-FFF2-40B4-BE49-F238E27FC236}">
                <a16:creationId xmlns:a16="http://schemas.microsoft.com/office/drawing/2014/main" id="{00000000-0008-0000-0D00-00001ECC0000}"/>
              </a:ext>
            </a:extLst>
          </xdr:cNvPr>
          <xdr:cNvSpPr txBox="1">
            <a:spLocks noChangeArrowheads="1"/>
          </xdr:cNvSpPr>
        </xdr:nvSpPr>
        <xdr:spPr bwMode="auto">
          <a:xfrm>
            <a:off x="474" y="414"/>
            <a:ext cx="55" cy="18"/>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Wet riser</a:t>
            </a:r>
            <a:endParaRPr lang="en-US"/>
          </a:p>
        </xdr:txBody>
      </xdr:sp>
      <xdr:sp macro="" textlink="">
        <xdr:nvSpPr>
          <xdr:cNvPr id="52866" name="Line 31">
            <a:extLst>
              <a:ext uri="{FF2B5EF4-FFF2-40B4-BE49-F238E27FC236}">
                <a16:creationId xmlns:a16="http://schemas.microsoft.com/office/drawing/2014/main" id="{00000000-0008-0000-0D00-000082CE0000}"/>
              </a:ext>
            </a:extLst>
          </xdr:cNvPr>
          <xdr:cNvSpPr>
            <a:spLocks noChangeShapeType="1"/>
          </xdr:cNvSpPr>
        </xdr:nvSpPr>
        <xdr:spPr bwMode="auto">
          <a:xfrm>
            <a:off x="333" y="346"/>
            <a:ext cx="154" cy="0"/>
          </a:xfrm>
          <a:prstGeom prst="line">
            <a:avLst/>
          </a:prstGeom>
          <a:noFill/>
          <a:ln w="9525">
            <a:solidFill>
              <a:srgbClr val="000000"/>
            </a:solidFill>
            <a:round/>
            <a:headEnd type="triangle" w="med" len="med"/>
            <a:tailEnd type="triangle" w="med" len="med"/>
          </a:ln>
        </xdr:spPr>
      </xdr:sp>
      <xdr:sp macro="" textlink="">
        <xdr:nvSpPr>
          <xdr:cNvPr id="52256" name="Text Box 32">
            <a:extLst>
              <a:ext uri="{FF2B5EF4-FFF2-40B4-BE49-F238E27FC236}">
                <a16:creationId xmlns:a16="http://schemas.microsoft.com/office/drawing/2014/main" id="{00000000-0008-0000-0D00-000020CC0000}"/>
              </a:ext>
            </a:extLst>
          </xdr:cNvPr>
          <xdr:cNvSpPr txBox="1">
            <a:spLocks noChangeArrowheads="1"/>
          </xdr:cNvSpPr>
        </xdr:nvSpPr>
        <xdr:spPr bwMode="auto">
          <a:xfrm>
            <a:off x="355" y="347"/>
            <a:ext cx="104" cy="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Tank Diameter (D)</a:t>
            </a:r>
            <a:endParaRPr lang="en-US"/>
          </a:p>
        </xdr:txBody>
      </xdr:sp>
      <xdr:sp macro="" textlink="">
        <xdr:nvSpPr>
          <xdr:cNvPr id="52868" name="Line 33">
            <a:extLst>
              <a:ext uri="{FF2B5EF4-FFF2-40B4-BE49-F238E27FC236}">
                <a16:creationId xmlns:a16="http://schemas.microsoft.com/office/drawing/2014/main" id="{00000000-0008-0000-0D00-000084CE0000}"/>
              </a:ext>
            </a:extLst>
          </xdr:cNvPr>
          <xdr:cNvSpPr>
            <a:spLocks noChangeShapeType="1"/>
          </xdr:cNvSpPr>
        </xdr:nvSpPr>
        <xdr:spPr bwMode="auto">
          <a:xfrm>
            <a:off x="495" y="332"/>
            <a:ext cx="0" cy="69"/>
          </a:xfrm>
          <a:prstGeom prst="line">
            <a:avLst/>
          </a:prstGeom>
          <a:noFill/>
          <a:ln w="9525">
            <a:solidFill>
              <a:srgbClr val="000000"/>
            </a:solidFill>
            <a:round/>
            <a:headEnd type="triangle" w="med" len="med"/>
            <a:tailEnd type="triangle" w="med" len="med"/>
          </a:ln>
        </xdr:spPr>
      </xdr:sp>
      <xdr:sp macro="" textlink="">
        <xdr:nvSpPr>
          <xdr:cNvPr id="52258" name="Text Box 34">
            <a:extLst>
              <a:ext uri="{FF2B5EF4-FFF2-40B4-BE49-F238E27FC236}">
                <a16:creationId xmlns:a16="http://schemas.microsoft.com/office/drawing/2014/main" id="{00000000-0008-0000-0D00-000022CC0000}"/>
              </a:ext>
            </a:extLst>
          </xdr:cNvPr>
          <xdr:cNvSpPr txBox="1">
            <a:spLocks noChangeArrowheads="1"/>
          </xdr:cNvSpPr>
        </xdr:nvSpPr>
        <xdr:spPr bwMode="auto">
          <a:xfrm>
            <a:off x="510" y="298"/>
            <a:ext cx="36" cy="108"/>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vert270" wrap="none" lIns="18288" tIns="0" rIns="0" bIns="22860" anchor="t" upright="1">
            <a:spAutoFit/>
          </a:bodyPr>
          <a:lstStyle/>
          <a:p>
            <a:pPr algn="l" rtl="0">
              <a:lnSpc>
                <a:spcPts val="900"/>
              </a:lnSpc>
              <a:defRPr sz="1000"/>
            </a:pPr>
            <a:r>
              <a:rPr lang="en-US" sz="1000" b="0" i="0" u="none" strike="noStrike" baseline="0">
                <a:solidFill>
                  <a:srgbClr val="000000"/>
                </a:solidFill>
                <a:latin typeface="Arial"/>
                <a:cs typeface="Arial"/>
              </a:rPr>
              <a:t>Maximum Operating </a:t>
            </a:r>
          </a:p>
          <a:p>
            <a:pPr algn="l" rtl="0">
              <a:lnSpc>
                <a:spcPts val="1000"/>
              </a:lnSpc>
              <a:defRPr sz="1000"/>
            </a:pPr>
            <a:r>
              <a:rPr lang="en-US" sz="1000" b="0" i="0" u="none" strike="noStrike" baseline="0">
                <a:solidFill>
                  <a:srgbClr val="000000"/>
                </a:solidFill>
                <a:latin typeface="Arial"/>
                <a:cs typeface="Arial"/>
              </a:rPr>
              <a:t>Water Depth (H)</a:t>
            </a:r>
            <a:endParaRPr lang="en-US"/>
          </a:p>
        </xdr:txBody>
      </xdr:sp>
    </xdr:grpSp>
    <xdr:clientData/>
  </xdr:twoCellAnchor>
  <xdr:twoCellAnchor>
    <xdr:from>
      <xdr:col>10</xdr:col>
      <xdr:colOff>419099</xdr:colOff>
      <xdr:row>23</xdr:row>
      <xdr:rowOff>28780</xdr:rowOff>
    </xdr:from>
    <xdr:to>
      <xdr:col>14</xdr:col>
      <xdr:colOff>332967</xdr:colOff>
      <xdr:row>35</xdr:row>
      <xdr:rowOff>133351</xdr:rowOff>
    </xdr:to>
    <xdr:grpSp>
      <xdr:nvGrpSpPr>
        <xdr:cNvPr id="52823" name="Group 36" descr="shows a rectangular tank">
          <a:extLst>
            <a:ext uri="{FF2B5EF4-FFF2-40B4-BE49-F238E27FC236}">
              <a16:creationId xmlns:a16="http://schemas.microsoft.com/office/drawing/2014/main" id="{00000000-0008-0000-0D00-000057CE0000}"/>
            </a:ext>
          </a:extLst>
        </xdr:cNvPr>
        <xdr:cNvGrpSpPr>
          <a:grpSpLocks/>
        </xdr:cNvGrpSpPr>
      </xdr:nvGrpSpPr>
      <xdr:grpSpPr bwMode="auto">
        <a:xfrm>
          <a:off x="5901266" y="3645105"/>
          <a:ext cx="2457043" cy="2012746"/>
          <a:chOff x="604" y="270"/>
          <a:chExt cx="243" cy="202"/>
        </a:xfrm>
      </xdr:grpSpPr>
      <xdr:sp macro="" textlink="">
        <xdr:nvSpPr>
          <xdr:cNvPr id="52838" name="Freeform 37">
            <a:extLst>
              <a:ext uri="{FF2B5EF4-FFF2-40B4-BE49-F238E27FC236}">
                <a16:creationId xmlns:a16="http://schemas.microsoft.com/office/drawing/2014/main" id="{00000000-0008-0000-0D00-000066CE0000}"/>
              </a:ext>
            </a:extLst>
          </xdr:cNvPr>
          <xdr:cNvSpPr>
            <a:spLocks/>
          </xdr:cNvSpPr>
        </xdr:nvSpPr>
        <xdr:spPr bwMode="auto">
          <a:xfrm>
            <a:off x="605" y="321"/>
            <a:ext cx="176" cy="84"/>
          </a:xfrm>
          <a:custGeom>
            <a:avLst/>
            <a:gdLst>
              <a:gd name="T0" fmla="*/ 0 w 176"/>
              <a:gd name="T1" fmla="*/ 26 h 84"/>
              <a:gd name="T2" fmla="*/ 26 w 176"/>
              <a:gd name="T3" fmla="*/ 0 h 84"/>
              <a:gd name="T4" fmla="*/ 175 w 176"/>
              <a:gd name="T5" fmla="*/ 0 h 84"/>
              <a:gd name="T6" fmla="*/ 176 w 176"/>
              <a:gd name="T7" fmla="*/ 58 h 84"/>
              <a:gd name="T8" fmla="*/ 150 w 176"/>
              <a:gd name="T9" fmla="*/ 84 h 84"/>
              <a:gd name="T10" fmla="*/ 0 w 176"/>
              <a:gd name="T11" fmla="*/ 84 h 84"/>
              <a:gd name="T12" fmla="*/ 0 w 176"/>
              <a:gd name="T13" fmla="*/ 26 h 8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76" h="84">
                <a:moveTo>
                  <a:pt x="0" y="26"/>
                </a:moveTo>
                <a:lnTo>
                  <a:pt x="26" y="0"/>
                </a:lnTo>
                <a:lnTo>
                  <a:pt x="175" y="0"/>
                </a:lnTo>
                <a:lnTo>
                  <a:pt x="176" y="58"/>
                </a:lnTo>
                <a:lnTo>
                  <a:pt x="150" y="84"/>
                </a:lnTo>
                <a:lnTo>
                  <a:pt x="0" y="84"/>
                </a:lnTo>
                <a:lnTo>
                  <a:pt x="0" y="26"/>
                </a:lnTo>
                <a:close/>
              </a:path>
            </a:pathLst>
          </a:custGeom>
          <a:solidFill>
            <a:srgbClr val="CCFFFF"/>
          </a:solidFill>
          <a:ln w="9525">
            <a:solidFill>
              <a:srgbClr val="000000"/>
            </a:solidFill>
            <a:round/>
            <a:headEnd/>
            <a:tailEnd/>
          </a:ln>
        </xdr:spPr>
      </xdr:sp>
      <xdr:sp macro="" textlink="">
        <xdr:nvSpPr>
          <xdr:cNvPr id="52839" name="AutoShape 38">
            <a:extLst>
              <a:ext uri="{FF2B5EF4-FFF2-40B4-BE49-F238E27FC236}">
                <a16:creationId xmlns:a16="http://schemas.microsoft.com/office/drawing/2014/main" id="{00000000-0008-0000-0D00-000067CE0000}"/>
              </a:ext>
            </a:extLst>
          </xdr:cNvPr>
          <xdr:cNvSpPr>
            <a:spLocks noChangeArrowheads="1"/>
          </xdr:cNvSpPr>
        </xdr:nvSpPr>
        <xdr:spPr bwMode="auto">
          <a:xfrm>
            <a:off x="605" y="304"/>
            <a:ext cx="176" cy="101"/>
          </a:xfrm>
          <a:prstGeom prst="cube">
            <a:avLst>
              <a:gd name="adj" fmla="val 25000"/>
            </a:avLst>
          </a:prstGeom>
          <a:noFill/>
          <a:ln w="9525">
            <a:solidFill>
              <a:srgbClr val="000000"/>
            </a:solidFill>
            <a:miter lim="800000"/>
            <a:headEnd/>
            <a:tailEnd/>
          </a:ln>
        </xdr:spPr>
      </xdr:sp>
      <xdr:sp macro="" textlink="">
        <xdr:nvSpPr>
          <xdr:cNvPr id="52263" name="Text Box 39">
            <a:extLst>
              <a:ext uri="{FF2B5EF4-FFF2-40B4-BE49-F238E27FC236}">
                <a16:creationId xmlns:a16="http://schemas.microsoft.com/office/drawing/2014/main" id="{00000000-0008-0000-0D00-000027CC0000}"/>
              </a:ext>
            </a:extLst>
          </xdr:cNvPr>
          <xdr:cNvSpPr txBox="1">
            <a:spLocks noChangeArrowheads="1"/>
          </xdr:cNvSpPr>
        </xdr:nvSpPr>
        <xdr:spPr bwMode="auto">
          <a:xfrm>
            <a:off x="622" y="270"/>
            <a:ext cx="177" cy="21"/>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Longest Sidewall length (D)</a:t>
            </a:r>
            <a:endParaRPr lang="en-US"/>
          </a:p>
        </xdr:txBody>
      </xdr:sp>
      <xdr:sp macro="" textlink="">
        <xdr:nvSpPr>
          <xdr:cNvPr id="52264" name="Text Box 40">
            <a:extLst>
              <a:ext uri="{FF2B5EF4-FFF2-40B4-BE49-F238E27FC236}">
                <a16:creationId xmlns:a16="http://schemas.microsoft.com/office/drawing/2014/main" id="{00000000-0008-0000-0D00-000028CC0000}"/>
              </a:ext>
            </a:extLst>
          </xdr:cNvPr>
          <xdr:cNvSpPr txBox="1">
            <a:spLocks noChangeArrowheads="1"/>
          </xdr:cNvSpPr>
        </xdr:nvSpPr>
        <xdr:spPr bwMode="auto">
          <a:xfrm>
            <a:off x="777" y="397"/>
            <a:ext cx="70" cy="5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Shortest Sidewall length (L)</a:t>
            </a:r>
            <a:endParaRPr lang="en-US"/>
          </a:p>
        </xdr:txBody>
      </xdr:sp>
      <xdr:sp macro="" textlink="">
        <xdr:nvSpPr>
          <xdr:cNvPr id="52842" name="Line 41">
            <a:extLst>
              <a:ext uri="{FF2B5EF4-FFF2-40B4-BE49-F238E27FC236}">
                <a16:creationId xmlns:a16="http://schemas.microsoft.com/office/drawing/2014/main" id="{00000000-0008-0000-0D00-00006ACE0000}"/>
              </a:ext>
            </a:extLst>
          </xdr:cNvPr>
          <xdr:cNvSpPr>
            <a:spLocks noChangeShapeType="1"/>
          </xdr:cNvSpPr>
        </xdr:nvSpPr>
        <xdr:spPr bwMode="auto">
          <a:xfrm flipH="1">
            <a:off x="756" y="321"/>
            <a:ext cx="25" cy="26"/>
          </a:xfrm>
          <a:prstGeom prst="line">
            <a:avLst/>
          </a:prstGeom>
          <a:noFill/>
          <a:ln w="9525">
            <a:solidFill>
              <a:srgbClr val="000000"/>
            </a:solidFill>
            <a:round/>
            <a:headEnd/>
            <a:tailEnd/>
          </a:ln>
        </xdr:spPr>
      </xdr:sp>
      <xdr:sp macro="" textlink="">
        <xdr:nvSpPr>
          <xdr:cNvPr id="52843" name="Line 42">
            <a:extLst>
              <a:ext uri="{FF2B5EF4-FFF2-40B4-BE49-F238E27FC236}">
                <a16:creationId xmlns:a16="http://schemas.microsoft.com/office/drawing/2014/main" id="{00000000-0008-0000-0D00-00006BCE0000}"/>
              </a:ext>
            </a:extLst>
          </xdr:cNvPr>
          <xdr:cNvSpPr>
            <a:spLocks noChangeShapeType="1"/>
          </xdr:cNvSpPr>
        </xdr:nvSpPr>
        <xdr:spPr bwMode="auto">
          <a:xfrm>
            <a:off x="605" y="346"/>
            <a:ext cx="151" cy="0"/>
          </a:xfrm>
          <a:prstGeom prst="line">
            <a:avLst/>
          </a:prstGeom>
          <a:noFill/>
          <a:ln w="9525">
            <a:solidFill>
              <a:srgbClr val="000000"/>
            </a:solidFill>
            <a:round/>
            <a:headEnd/>
            <a:tailEnd/>
          </a:ln>
        </xdr:spPr>
      </xdr:sp>
      <xdr:sp macro="" textlink="">
        <xdr:nvSpPr>
          <xdr:cNvPr id="52844" name="Line 43">
            <a:extLst>
              <a:ext uri="{FF2B5EF4-FFF2-40B4-BE49-F238E27FC236}">
                <a16:creationId xmlns:a16="http://schemas.microsoft.com/office/drawing/2014/main" id="{00000000-0008-0000-0D00-00006CCE0000}"/>
              </a:ext>
            </a:extLst>
          </xdr:cNvPr>
          <xdr:cNvSpPr>
            <a:spLocks noChangeShapeType="1"/>
          </xdr:cNvSpPr>
        </xdr:nvSpPr>
        <xdr:spPr bwMode="auto">
          <a:xfrm>
            <a:off x="633" y="296"/>
            <a:ext cx="150" cy="0"/>
          </a:xfrm>
          <a:prstGeom prst="line">
            <a:avLst/>
          </a:prstGeom>
          <a:noFill/>
          <a:ln w="9525">
            <a:solidFill>
              <a:srgbClr val="000000"/>
            </a:solidFill>
            <a:round/>
            <a:headEnd type="triangle" w="med" len="med"/>
            <a:tailEnd type="triangle" w="med" len="med"/>
          </a:ln>
        </xdr:spPr>
      </xdr:sp>
      <xdr:sp macro="" textlink="">
        <xdr:nvSpPr>
          <xdr:cNvPr id="52845" name="Line 44">
            <a:extLst>
              <a:ext uri="{FF2B5EF4-FFF2-40B4-BE49-F238E27FC236}">
                <a16:creationId xmlns:a16="http://schemas.microsoft.com/office/drawing/2014/main" id="{00000000-0008-0000-0D00-00006DCE0000}"/>
              </a:ext>
            </a:extLst>
          </xdr:cNvPr>
          <xdr:cNvSpPr>
            <a:spLocks noChangeShapeType="1"/>
          </xdr:cNvSpPr>
        </xdr:nvSpPr>
        <xdr:spPr bwMode="auto">
          <a:xfrm flipV="1">
            <a:off x="759" y="384"/>
            <a:ext cx="27" cy="28"/>
          </a:xfrm>
          <a:prstGeom prst="line">
            <a:avLst/>
          </a:prstGeom>
          <a:noFill/>
          <a:ln w="9525">
            <a:solidFill>
              <a:srgbClr val="000000"/>
            </a:solidFill>
            <a:round/>
            <a:headEnd type="triangle" w="med" len="med"/>
            <a:tailEnd type="triangle" w="med" len="med"/>
          </a:ln>
        </xdr:spPr>
      </xdr:sp>
      <xdr:sp macro="" textlink="">
        <xdr:nvSpPr>
          <xdr:cNvPr id="52846" name="Line 45">
            <a:extLst>
              <a:ext uri="{FF2B5EF4-FFF2-40B4-BE49-F238E27FC236}">
                <a16:creationId xmlns:a16="http://schemas.microsoft.com/office/drawing/2014/main" id="{00000000-0008-0000-0D00-00006ECE0000}"/>
              </a:ext>
            </a:extLst>
          </xdr:cNvPr>
          <xdr:cNvSpPr>
            <a:spLocks noChangeShapeType="1"/>
          </xdr:cNvSpPr>
        </xdr:nvSpPr>
        <xdr:spPr bwMode="auto">
          <a:xfrm>
            <a:off x="792" y="320"/>
            <a:ext cx="0" cy="58"/>
          </a:xfrm>
          <a:prstGeom prst="line">
            <a:avLst/>
          </a:prstGeom>
          <a:noFill/>
          <a:ln w="9525">
            <a:solidFill>
              <a:srgbClr val="000000"/>
            </a:solidFill>
            <a:round/>
            <a:headEnd type="triangle" w="med" len="med"/>
            <a:tailEnd type="triangle" w="med" len="med"/>
          </a:ln>
        </xdr:spPr>
      </xdr:sp>
      <xdr:sp macro="" textlink="">
        <xdr:nvSpPr>
          <xdr:cNvPr id="52270" name="Text Box 46">
            <a:extLst>
              <a:ext uri="{FF2B5EF4-FFF2-40B4-BE49-F238E27FC236}">
                <a16:creationId xmlns:a16="http://schemas.microsoft.com/office/drawing/2014/main" id="{00000000-0008-0000-0D00-00002ECC0000}"/>
              </a:ext>
            </a:extLst>
          </xdr:cNvPr>
          <xdr:cNvSpPr txBox="1">
            <a:spLocks noChangeArrowheads="1"/>
          </xdr:cNvSpPr>
        </xdr:nvSpPr>
        <xdr:spPr bwMode="auto">
          <a:xfrm>
            <a:off x="804" y="272"/>
            <a:ext cx="36" cy="113"/>
          </a:xfrm>
          <a:prstGeom prst="rect">
            <a:avLst/>
          </a:prstGeom>
          <a:solidFill>
            <a:srgbClr val="FFFFFF"/>
          </a:solidFill>
          <a:ln w="9525">
            <a:solidFill>
              <a:srgbClr val="FFFFFF"/>
            </a:solidFill>
            <a:miter lim="800000"/>
            <a:headEnd/>
            <a:tailEnd/>
          </a:ln>
        </xdr:spPr>
        <xdr:txBody>
          <a:bodyPr vert="vert270" wrap="none" lIns="18288" tIns="22860" rIns="0" bIns="22860" anchor="t" upright="1">
            <a:spAutoFit/>
          </a:bodyPr>
          <a:lstStyle/>
          <a:p>
            <a:pPr algn="ctr" rtl="0">
              <a:lnSpc>
                <a:spcPts val="1000"/>
              </a:lnSpc>
              <a:defRPr sz="1000"/>
            </a:pPr>
            <a:r>
              <a:rPr lang="en-US" sz="1000" b="0" i="0" u="none" strike="noStrike" baseline="0">
                <a:solidFill>
                  <a:srgbClr val="000000"/>
                </a:solidFill>
                <a:latin typeface="Arial"/>
                <a:cs typeface="Arial"/>
              </a:rPr>
              <a:t>Maximum Operating</a:t>
            </a:r>
          </a:p>
          <a:p>
            <a:pPr algn="ctr" rtl="0">
              <a:lnSpc>
                <a:spcPts val="1000"/>
              </a:lnSpc>
              <a:defRPr sz="1000"/>
            </a:pPr>
            <a:r>
              <a:rPr lang="en-US" sz="1000" b="0" i="0" u="none" strike="noStrike" baseline="0">
                <a:solidFill>
                  <a:srgbClr val="000000"/>
                </a:solidFill>
                <a:latin typeface="Arial"/>
                <a:cs typeface="Arial"/>
              </a:rPr>
              <a:t>Water Depth (H)</a:t>
            </a:r>
            <a:endParaRPr lang="en-US"/>
          </a:p>
        </xdr:txBody>
      </xdr:sp>
      <xdr:sp macro="" textlink="">
        <xdr:nvSpPr>
          <xdr:cNvPr id="52848" name="Rectangle 47">
            <a:extLst>
              <a:ext uri="{FF2B5EF4-FFF2-40B4-BE49-F238E27FC236}">
                <a16:creationId xmlns:a16="http://schemas.microsoft.com/office/drawing/2014/main" id="{00000000-0008-0000-0D00-000070CE0000}"/>
              </a:ext>
            </a:extLst>
          </xdr:cNvPr>
          <xdr:cNvSpPr>
            <a:spLocks noChangeArrowheads="1"/>
          </xdr:cNvSpPr>
        </xdr:nvSpPr>
        <xdr:spPr bwMode="auto">
          <a:xfrm>
            <a:off x="709" y="405"/>
            <a:ext cx="23" cy="46"/>
          </a:xfrm>
          <a:prstGeom prst="rect">
            <a:avLst/>
          </a:prstGeom>
          <a:solidFill>
            <a:srgbClr val="CCFFFF"/>
          </a:solidFill>
          <a:ln w="9525">
            <a:solidFill>
              <a:srgbClr val="000000"/>
            </a:solidFill>
            <a:miter lim="800000"/>
            <a:headEnd/>
            <a:tailEnd/>
          </a:ln>
        </xdr:spPr>
      </xdr:sp>
      <xdr:sp macro="" textlink="">
        <xdr:nvSpPr>
          <xdr:cNvPr id="52849" name="Line 48">
            <a:extLst>
              <a:ext uri="{FF2B5EF4-FFF2-40B4-BE49-F238E27FC236}">
                <a16:creationId xmlns:a16="http://schemas.microsoft.com/office/drawing/2014/main" id="{00000000-0008-0000-0D00-000071CE0000}"/>
              </a:ext>
            </a:extLst>
          </xdr:cNvPr>
          <xdr:cNvSpPr>
            <a:spLocks noChangeShapeType="1"/>
          </xdr:cNvSpPr>
        </xdr:nvSpPr>
        <xdr:spPr bwMode="auto">
          <a:xfrm>
            <a:off x="709" y="414"/>
            <a:ext cx="23" cy="0"/>
          </a:xfrm>
          <a:prstGeom prst="line">
            <a:avLst/>
          </a:prstGeom>
          <a:noFill/>
          <a:ln w="9525">
            <a:solidFill>
              <a:srgbClr val="000000"/>
            </a:solidFill>
            <a:round/>
            <a:headEnd type="triangle" w="med" len="med"/>
            <a:tailEnd type="triangle" w="med" len="med"/>
          </a:ln>
        </xdr:spPr>
      </xdr:sp>
      <xdr:sp macro="" textlink="">
        <xdr:nvSpPr>
          <xdr:cNvPr id="52850" name="Line 49">
            <a:extLst>
              <a:ext uri="{FF2B5EF4-FFF2-40B4-BE49-F238E27FC236}">
                <a16:creationId xmlns:a16="http://schemas.microsoft.com/office/drawing/2014/main" id="{00000000-0008-0000-0D00-000072CE0000}"/>
              </a:ext>
            </a:extLst>
          </xdr:cNvPr>
          <xdr:cNvSpPr>
            <a:spLocks noChangeShapeType="1"/>
          </xdr:cNvSpPr>
        </xdr:nvSpPr>
        <xdr:spPr bwMode="auto">
          <a:xfrm flipV="1">
            <a:off x="720" y="428"/>
            <a:ext cx="0" cy="37"/>
          </a:xfrm>
          <a:prstGeom prst="line">
            <a:avLst/>
          </a:prstGeom>
          <a:noFill/>
          <a:ln w="9525">
            <a:solidFill>
              <a:srgbClr val="000000"/>
            </a:solidFill>
            <a:round/>
            <a:headEnd/>
            <a:tailEnd type="triangle" w="med" len="med"/>
          </a:ln>
        </xdr:spPr>
      </xdr:sp>
      <xdr:sp macro="" textlink="">
        <xdr:nvSpPr>
          <xdr:cNvPr id="52274" name="Text Box 50">
            <a:extLst>
              <a:ext uri="{FF2B5EF4-FFF2-40B4-BE49-F238E27FC236}">
                <a16:creationId xmlns:a16="http://schemas.microsoft.com/office/drawing/2014/main" id="{00000000-0008-0000-0D00-000032CC0000}"/>
              </a:ext>
            </a:extLst>
          </xdr:cNvPr>
          <xdr:cNvSpPr txBox="1">
            <a:spLocks noChangeArrowheads="1"/>
          </xdr:cNvSpPr>
        </xdr:nvSpPr>
        <xdr:spPr bwMode="auto">
          <a:xfrm>
            <a:off x="727" y="454"/>
            <a:ext cx="69" cy="18"/>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Water Flow</a:t>
            </a:r>
            <a:endParaRPr lang="en-US"/>
          </a:p>
        </xdr:txBody>
      </xdr:sp>
      <xdr:sp macro="" textlink="">
        <xdr:nvSpPr>
          <xdr:cNvPr id="52275" name="Text Box 51">
            <a:extLst>
              <a:ext uri="{FF2B5EF4-FFF2-40B4-BE49-F238E27FC236}">
                <a16:creationId xmlns:a16="http://schemas.microsoft.com/office/drawing/2014/main" id="{00000000-0008-0000-0D00-000033CC0000}"/>
              </a:ext>
            </a:extLst>
          </xdr:cNvPr>
          <xdr:cNvSpPr txBox="1">
            <a:spLocks noChangeArrowheads="1"/>
          </xdr:cNvSpPr>
        </xdr:nvSpPr>
        <xdr:spPr bwMode="auto">
          <a:xfrm>
            <a:off x="604" y="412"/>
            <a:ext cx="95" cy="19"/>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Inlet diameter (d)</a:t>
            </a:r>
            <a:endParaRPr lang="en-US"/>
          </a:p>
        </xdr:txBody>
      </xdr:sp>
    </xdr:grpSp>
    <xdr:clientData/>
  </xdr:twoCellAnchor>
  <xdr:oneCellAnchor>
    <xdr:from>
      <xdr:col>11</xdr:col>
      <xdr:colOff>295275</xdr:colOff>
      <xdr:row>38</xdr:row>
      <xdr:rowOff>114300</xdr:rowOff>
    </xdr:from>
    <xdr:ext cx="3140475" cy="728405"/>
    <xdr:sp macro="" textlink="">
      <xdr:nvSpPr>
        <xdr:cNvPr id="52292" name="Text Box 68">
          <a:extLst>
            <a:ext uri="{FF2B5EF4-FFF2-40B4-BE49-F238E27FC236}">
              <a16:creationId xmlns:a16="http://schemas.microsoft.com/office/drawing/2014/main" id="{00000000-0008-0000-0D00-000044CC0000}"/>
            </a:ext>
          </a:extLst>
        </xdr:cNvPr>
        <xdr:cNvSpPr txBox="1">
          <a:spLocks noChangeArrowheads="1"/>
        </xdr:cNvSpPr>
      </xdr:nvSpPr>
      <xdr:spPr bwMode="auto">
        <a:xfrm>
          <a:off x="5741334" y="327212"/>
          <a:ext cx="3140475" cy="72840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lnSpc>
              <a:spcPts val="1100"/>
            </a:lnSpc>
            <a:defRPr sz="1000"/>
          </a:pPr>
          <a:r>
            <a:rPr lang="en-US" sz="1000" b="0" i="0" u="none" strike="noStrike" baseline="0">
              <a:solidFill>
                <a:srgbClr val="000000"/>
              </a:solidFill>
              <a:latin typeface="Arial"/>
              <a:cs typeface="Arial"/>
            </a:rPr>
            <a:t>NOTE: If the tank is a hydropillar, the tank spreadsheet</a:t>
          </a:r>
        </a:p>
        <a:p>
          <a:pPr algn="l" rtl="0">
            <a:lnSpc>
              <a:spcPts val="1100"/>
            </a:lnSpc>
            <a:defRPr sz="1000"/>
          </a:pPr>
          <a:r>
            <a:rPr lang="en-US" sz="1000" b="0" i="0" u="none" strike="noStrike" baseline="0">
              <a:solidFill>
                <a:srgbClr val="000000"/>
              </a:solidFill>
              <a:latin typeface="Arial"/>
              <a:cs typeface="Arial"/>
            </a:rPr>
            <a:t>can approximate the tank turnover and mixing, but the </a:t>
          </a:r>
        </a:p>
        <a:p>
          <a:pPr algn="l" rtl="0">
            <a:lnSpc>
              <a:spcPts val="1100"/>
            </a:lnSpc>
            <a:defRPr sz="1000"/>
          </a:pPr>
          <a:r>
            <a:rPr lang="en-US" sz="1000" b="0" i="0" u="none" strike="noStrike" baseline="0">
              <a:solidFill>
                <a:srgbClr val="000000"/>
              </a:solidFill>
              <a:latin typeface="Arial"/>
              <a:cs typeface="Arial"/>
            </a:rPr>
            <a:t>tank must operate in the range of the tank that has a </a:t>
          </a:r>
        </a:p>
        <a:p>
          <a:pPr algn="l" rtl="0">
            <a:lnSpc>
              <a:spcPts val="1100"/>
            </a:lnSpc>
            <a:defRPr sz="1000"/>
          </a:pPr>
          <a:r>
            <a:rPr lang="en-US" sz="1000" b="0" i="0" u="none" strike="noStrike" baseline="0">
              <a:solidFill>
                <a:srgbClr val="000000"/>
              </a:solidFill>
              <a:latin typeface="Arial"/>
              <a:cs typeface="Arial"/>
            </a:rPr>
            <a:t>cylindrical shape, not the cone-shaped bottom section.</a:t>
          </a:r>
        </a:p>
        <a:p>
          <a:pPr algn="l" rtl="0">
            <a:lnSpc>
              <a:spcPts val="1100"/>
            </a:lnSpc>
            <a:defRPr sz="1000"/>
          </a:pPr>
          <a:r>
            <a:rPr lang="en-US" sz="1000" b="0" i="0" u="none" strike="noStrike" baseline="0">
              <a:solidFill>
                <a:srgbClr val="000000"/>
              </a:solidFill>
              <a:latin typeface="Arial"/>
              <a:cs typeface="Arial"/>
            </a:rPr>
            <a:t>As shown below:</a:t>
          </a:r>
          <a:endParaRPr lang="en-US"/>
        </a:p>
      </xdr:txBody>
    </xdr:sp>
    <xdr:clientData/>
  </xdr:oneCellAnchor>
  <xdr:twoCellAnchor>
    <xdr:from>
      <xdr:col>11</xdr:col>
      <xdr:colOff>552451</xdr:colOff>
      <xdr:row>44</xdr:row>
      <xdr:rowOff>95250</xdr:rowOff>
    </xdr:from>
    <xdr:to>
      <xdr:col>16</xdr:col>
      <xdr:colOff>289556</xdr:colOff>
      <xdr:row>53</xdr:row>
      <xdr:rowOff>57150</xdr:rowOff>
    </xdr:to>
    <xdr:grpSp>
      <xdr:nvGrpSpPr>
        <xdr:cNvPr id="52826" name="Group 69" descr="shows a hydropillar-shaped tank">
          <a:extLst>
            <a:ext uri="{FF2B5EF4-FFF2-40B4-BE49-F238E27FC236}">
              <a16:creationId xmlns:a16="http://schemas.microsoft.com/office/drawing/2014/main" id="{00000000-0008-0000-0D00-00005ACE0000}"/>
            </a:ext>
          </a:extLst>
        </xdr:cNvPr>
        <xdr:cNvGrpSpPr>
          <a:grpSpLocks/>
        </xdr:cNvGrpSpPr>
      </xdr:nvGrpSpPr>
      <xdr:grpSpPr bwMode="auto">
        <a:xfrm>
          <a:off x="6669618" y="7048500"/>
          <a:ext cx="2915280" cy="1390650"/>
          <a:chOff x="804" y="130"/>
          <a:chExt cx="252" cy="140"/>
        </a:xfrm>
      </xdr:grpSpPr>
      <xdr:sp macro="" textlink="">
        <xdr:nvSpPr>
          <xdr:cNvPr id="52294" name="Text Box 70">
            <a:extLst>
              <a:ext uri="{FF2B5EF4-FFF2-40B4-BE49-F238E27FC236}">
                <a16:creationId xmlns:a16="http://schemas.microsoft.com/office/drawing/2014/main" id="{00000000-0008-0000-0D00-000046CC0000}"/>
              </a:ext>
            </a:extLst>
          </xdr:cNvPr>
          <xdr:cNvSpPr txBox="1">
            <a:spLocks noChangeArrowheads="1"/>
          </xdr:cNvSpPr>
        </xdr:nvSpPr>
        <xdr:spPr bwMode="auto">
          <a:xfrm>
            <a:off x="914" y="178"/>
            <a:ext cx="142" cy="72"/>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18288" bIns="0" anchor="t" upright="1">
            <a:spAutoFit/>
          </a:bodyPr>
          <a:lstStyle/>
          <a:p>
            <a:pPr algn="ctr" rtl="0">
              <a:lnSpc>
                <a:spcPts val="1100"/>
              </a:lnSpc>
              <a:defRPr sz="1000"/>
            </a:pPr>
            <a:r>
              <a:rPr lang="en-US" sz="1000" b="0" i="0" u="none" strike="noStrike" baseline="0">
                <a:solidFill>
                  <a:srgbClr val="C00000"/>
                </a:solidFill>
                <a:latin typeface="Arial"/>
                <a:cs typeface="Arial"/>
              </a:rPr>
              <a:t>Tank spreadsheet </a:t>
            </a:r>
          </a:p>
          <a:p>
            <a:pPr algn="ctr" rtl="0">
              <a:lnSpc>
                <a:spcPts val="1100"/>
              </a:lnSpc>
              <a:defRPr sz="1000"/>
            </a:pPr>
            <a:r>
              <a:rPr lang="en-US" sz="1000" b="0" i="0" u="none" strike="noStrike" baseline="0">
                <a:solidFill>
                  <a:srgbClr val="C00000"/>
                </a:solidFill>
                <a:latin typeface="Arial"/>
                <a:cs typeface="Arial"/>
              </a:rPr>
              <a:t>will not appropriately </a:t>
            </a:r>
          </a:p>
          <a:p>
            <a:pPr algn="ctr" rtl="0">
              <a:lnSpc>
                <a:spcPts val="1100"/>
              </a:lnSpc>
              <a:defRPr sz="1000"/>
            </a:pPr>
            <a:r>
              <a:rPr lang="en-US" sz="1000" b="0" i="0" u="none" strike="noStrike" baseline="0">
                <a:solidFill>
                  <a:srgbClr val="C00000"/>
                </a:solidFill>
                <a:latin typeface="Arial"/>
                <a:cs typeface="Arial"/>
              </a:rPr>
              <a:t>estimate turnover </a:t>
            </a:r>
          </a:p>
          <a:p>
            <a:pPr algn="ctr" rtl="0">
              <a:lnSpc>
                <a:spcPts val="1100"/>
              </a:lnSpc>
              <a:defRPr sz="1000"/>
            </a:pPr>
            <a:r>
              <a:rPr lang="en-US" sz="1000" b="0" i="0" u="none" strike="noStrike" baseline="0">
                <a:solidFill>
                  <a:srgbClr val="C00000"/>
                </a:solidFill>
                <a:latin typeface="Arial"/>
                <a:cs typeface="Arial"/>
              </a:rPr>
              <a:t>and mixing for hydropillars </a:t>
            </a:r>
          </a:p>
          <a:p>
            <a:pPr algn="ctr" rtl="0">
              <a:lnSpc>
                <a:spcPts val="1100"/>
              </a:lnSpc>
              <a:defRPr sz="1000"/>
            </a:pPr>
            <a:r>
              <a:rPr lang="en-US" sz="1000" b="0" i="0" u="none" strike="noStrike" baseline="0">
                <a:solidFill>
                  <a:srgbClr val="C00000"/>
                </a:solidFill>
                <a:latin typeface="Arial"/>
                <a:cs typeface="Arial"/>
              </a:rPr>
              <a:t>operating in this range.</a:t>
            </a:r>
            <a:endParaRPr lang="en-US">
              <a:solidFill>
                <a:srgbClr val="C00000"/>
              </a:solidFill>
            </a:endParaRPr>
          </a:p>
        </xdr:txBody>
      </xdr:sp>
      <xdr:sp macro="" textlink="">
        <xdr:nvSpPr>
          <xdr:cNvPr id="52828" name="AutoShape 71">
            <a:extLst>
              <a:ext uri="{FF2B5EF4-FFF2-40B4-BE49-F238E27FC236}">
                <a16:creationId xmlns:a16="http://schemas.microsoft.com/office/drawing/2014/main" id="{00000000-0008-0000-0D00-00005CCE0000}"/>
              </a:ext>
            </a:extLst>
          </xdr:cNvPr>
          <xdr:cNvSpPr>
            <a:spLocks noChangeArrowheads="1"/>
          </xdr:cNvSpPr>
        </xdr:nvSpPr>
        <xdr:spPr bwMode="auto">
          <a:xfrm>
            <a:off x="805" y="141"/>
            <a:ext cx="108" cy="33"/>
          </a:xfrm>
          <a:prstGeom prst="can">
            <a:avLst>
              <a:gd name="adj" fmla="val 25000"/>
            </a:avLst>
          </a:prstGeom>
          <a:solidFill>
            <a:srgbClr val="CCFFFF"/>
          </a:solidFill>
          <a:ln w="9525">
            <a:solidFill>
              <a:srgbClr val="000000"/>
            </a:solidFill>
            <a:round/>
            <a:headEnd/>
            <a:tailEnd/>
          </a:ln>
        </xdr:spPr>
      </xdr:sp>
      <xdr:sp macro="" textlink="">
        <xdr:nvSpPr>
          <xdr:cNvPr id="52829" name="AutoShape 72">
            <a:extLst>
              <a:ext uri="{FF2B5EF4-FFF2-40B4-BE49-F238E27FC236}">
                <a16:creationId xmlns:a16="http://schemas.microsoft.com/office/drawing/2014/main" id="{00000000-0008-0000-0D00-00005DCE0000}"/>
              </a:ext>
            </a:extLst>
          </xdr:cNvPr>
          <xdr:cNvSpPr>
            <a:spLocks noChangeArrowheads="1"/>
          </xdr:cNvSpPr>
        </xdr:nvSpPr>
        <xdr:spPr bwMode="auto">
          <a:xfrm>
            <a:off x="805" y="130"/>
            <a:ext cx="108" cy="46"/>
          </a:xfrm>
          <a:prstGeom prst="can">
            <a:avLst>
              <a:gd name="adj" fmla="val 25000"/>
            </a:avLst>
          </a:prstGeom>
          <a:noFill/>
          <a:ln w="9525">
            <a:solidFill>
              <a:srgbClr val="000000"/>
            </a:solidFill>
            <a:round/>
            <a:headEnd/>
            <a:tailEnd/>
          </a:ln>
        </xdr:spPr>
      </xdr:sp>
      <xdr:sp macro="" textlink="">
        <xdr:nvSpPr>
          <xdr:cNvPr id="52830" name="AutoShape 73">
            <a:extLst>
              <a:ext uri="{FF2B5EF4-FFF2-40B4-BE49-F238E27FC236}">
                <a16:creationId xmlns:a16="http://schemas.microsoft.com/office/drawing/2014/main" id="{00000000-0008-0000-0D00-00005ECE0000}"/>
              </a:ext>
            </a:extLst>
          </xdr:cNvPr>
          <xdr:cNvSpPr>
            <a:spLocks noChangeArrowheads="1"/>
          </xdr:cNvSpPr>
        </xdr:nvSpPr>
        <xdr:spPr bwMode="auto">
          <a:xfrm>
            <a:off x="804" y="172"/>
            <a:ext cx="109" cy="27"/>
          </a:xfrm>
          <a:prstGeom prst="flowChartManualOperation">
            <a:avLst/>
          </a:prstGeom>
          <a:solidFill>
            <a:srgbClr val="CCFFFF"/>
          </a:solidFill>
          <a:ln w="9525">
            <a:solidFill>
              <a:srgbClr val="000000"/>
            </a:solidFill>
            <a:miter lim="800000"/>
            <a:headEnd/>
            <a:tailEnd/>
          </a:ln>
        </xdr:spPr>
      </xdr:sp>
      <xdr:sp macro="" textlink="">
        <xdr:nvSpPr>
          <xdr:cNvPr id="52831" name="Rectangle 74">
            <a:extLst>
              <a:ext uri="{FF2B5EF4-FFF2-40B4-BE49-F238E27FC236}">
                <a16:creationId xmlns:a16="http://schemas.microsoft.com/office/drawing/2014/main" id="{00000000-0008-0000-0D00-00005FCE0000}"/>
              </a:ext>
            </a:extLst>
          </xdr:cNvPr>
          <xdr:cNvSpPr>
            <a:spLocks noChangeArrowheads="1"/>
          </xdr:cNvSpPr>
        </xdr:nvSpPr>
        <xdr:spPr bwMode="auto">
          <a:xfrm>
            <a:off x="825" y="198"/>
            <a:ext cx="66" cy="43"/>
          </a:xfrm>
          <a:prstGeom prst="rect">
            <a:avLst/>
          </a:prstGeom>
          <a:solidFill>
            <a:srgbClr val="FFFFFF"/>
          </a:solidFill>
          <a:ln w="9525">
            <a:solidFill>
              <a:srgbClr val="000000"/>
            </a:solidFill>
            <a:miter lim="800000"/>
            <a:headEnd/>
            <a:tailEnd/>
          </a:ln>
        </xdr:spPr>
      </xdr:sp>
      <xdr:sp macro="" textlink="">
        <xdr:nvSpPr>
          <xdr:cNvPr id="52832" name="Rectangle 75">
            <a:extLst>
              <a:ext uri="{FF2B5EF4-FFF2-40B4-BE49-F238E27FC236}">
                <a16:creationId xmlns:a16="http://schemas.microsoft.com/office/drawing/2014/main" id="{00000000-0008-0000-0D00-000060CE0000}"/>
              </a:ext>
            </a:extLst>
          </xdr:cNvPr>
          <xdr:cNvSpPr>
            <a:spLocks noChangeArrowheads="1"/>
          </xdr:cNvSpPr>
        </xdr:nvSpPr>
        <xdr:spPr bwMode="auto">
          <a:xfrm>
            <a:off x="852" y="199"/>
            <a:ext cx="16" cy="41"/>
          </a:xfrm>
          <a:prstGeom prst="rect">
            <a:avLst/>
          </a:prstGeom>
          <a:solidFill>
            <a:srgbClr val="CCFFFF"/>
          </a:solidFill>
          <a:ln w="9525">
            <a:solidFill>
              <a:srgbClr val="000000"/>
            </a:solidFill>
            <a:miter lim="800000"/>
            <a:headEnd/>
            <a:tailEnd/>
          </a:ln>
        </xdr:spPr>
      </xdr:sp>
      <xdr:sp macro="" textlink="">
        <xdr:nvSpPr>
          <xdr:cNvPr id="52833" name="Line 76">
            <a:extLst>
              <a:ext uri="{FF2B5EF4-FFF2-40B4-BE49-F238E27FC236}">
                <a16:creationId xmlns:a16="http://schemas.microsoft.com/office/drawing/2014/main" id="{00000000-0008-0000-0D00-000061CE0000}"/>
              </a:ext>
            </a:extLst>
          </xdr:cNvPr>
          <xdr:cNvSpPr>
            <a:spLocks noChangeShapeType="1"/>
          </xdr:cNvSpPr>
        </xdr:nvSpPr>
        <xdr:spPr bwMode="auto">
          <a:xfrm flipV="1">
            <a:off x="860" y="227"/>
            <a:ext cx="0" cy="32"/>
          </a:xfrm>
          <a:prstGeom prst="line">
            <a:avLst/>
          </a:prstGeom>
          <a:noFill/>
          <a:ln w="9525">
            <a:solidFill>
              <a:srgbClr val="000000"/>
            </a:solidFill>
            <a:round/>
            <a:headEnd/>
            <a:tailEnd type="triangle" w="med" len="med"/>
          </a:ln>
        </xdr:spPr>
      </xdr:sp>
      <xdr:sp macro="" textlink="">
        <xdr:nvSpPr>
          <xdr:cNvPr id="52301" name="Text Box 77">
            <a:extLst>
              <a:ext uri="{FF2B5EF4-FFF2-40B4-BE49-F238E27FC236}">
                <a16:creationId xmlns:a16="http://schemas.microsoft.com/office/drawing/2014/main" id="{00000000-0008-0000-0D00-00004DCC0000}"/>
              </a:ext>
            </a:extLst>
          </xdr:cNvPr>
          <xdr:cNvSpPr txBox="1">
            <a:spLocks noChangeArrowheads="1"/>
          </xdr:cNvSpPr>
        </xdr:nvSpPr>
        <xdr:spPr bwMode="auto">
          <a:xfrm>
            <a:off x="807" y="252"/>
            <a:ext cx="36" cy="18"/>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Water</a:t>
            </a:r>
            <a:endParaRPr lang="en-US"/>
          </a:p>
        </xdr:txBody>
      </xdr:sp>
      <xdr:sp macro="" textlink="">
        <xdr:nvSpPr>
          <xdr:cNvPr id="52835" name="Line 78">
            <a:extLst>
              <a:ext uri="{FF2B5EF4-FFF2-40B4-BE49-F238E27FC236}">
                <a16:creationId xmlns:a16="http://schemas.microsoft.com/office/drawing/2014/main" id="{00000000-0008-0000-0D00-000063CE0000}"/>
              </a:ext>
            </a:extLst>
          </xdr:cNvPr>
          <xdr:cNvSpPr>
            <a:spLocks noChangeShapeType="1"/>
          </xdr:cNvSpPr>
        </xdr:nvSpPr>
        <xdr:spPr bwMode="auto">
          <a:xfrm>
            <a:off x="920" y="145"/>
            <a:ext cx="0" cy="24"/>
          </a:xfrm>
          <a:prstGeom prst="line">
            <a:avLst/>
          </a:prstGeom>
          <a:noFill/>
          <a:ln w="9525">
            <a:solidFill>
              <a:srgbClr val="000000"/>
            </a:solidFill>
            <a:round/>
            <a:headEnd type="triangle" w="med" len="med"/>
            <a:tailEnd type="triangle" w="med" len="med"/>
          </a:ln>
        </xdr:spPr>
      </xdr:sp>
      <xdr:sp macro="" textlink="">
        <xdr:nvSpPr>
          <xdr:cNvPr id="52303" name="Text Box 79">
            <a:extLst>
              <a:ext uri="{FF2B5EF4-FFF2-40B4-BE49-F238E27FC236}">
                <a16:creationId xmlns:a16="http://schemas.microsoft.com/office/drawing/2014/main" id="{00000000-0008-0000-0D00-00004FCC0000}"/>
              </a:ext>
            </a:extLst>
          </xdr:cNvPr>
          <xdr:cNvSpPr txBox="1">
            <a:spLocks noChangeArrowheads="1"/>
          </xdr:cNvSpPr>
        </xdr:nvSpPr>
        <xdr:spPr bwMode="auto">
          <a:xfrm>
            <a:off x="935" y="133"/>
            <a:ext cx="107" cy="34"/>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18288" bIns="0" anchor="t" upright="1">
            <a:spAutoFit/>
          </a:bodyPr>
          <a:lstStyle/>
          <a:p>
            <a:pPr algn="ctr" rtl="0">
              <a:lnSpc>
                <a:spcPts val="1000"/>
              </a:lnSpc>
              <a:defRPr sz="1000"/>
            </a:pPr>
            <a:r>
              <a:rPr lang="en-US" sz="1000" b="0" i="0" u="none" strike="noStrike" baseline="0">
                <a:solidFill>
                  <a:srgbClr val="000000"/>
                </a:solidFill>
                <a:latin typeface="Arial"/>
                <a:cs typeface="Arial"/>
              </a:rPr>
              <a:t>Tank must operate</a:t>
            </a:r>
          </a:p>
          <a:p>
            <a:pPr algn="ctr" rtl="0">
              <a:lnSpc>
                <a:spcPts val="1000"/>
              </a:lnSpc>
              <a:defRPr sz="1000"/>
            </a:pPr>
            <a:r>
              <a:rPr lang="en-US" sz="1000" b="0" i="0" u="none" strike="noStrike" baseline="0">
                <a:solidFill>
                  <a:srgbClr val="000000"/>
                </a:solidFill>
                <a:latin typeface="Arial"/>
                <a:cs typeface="Arial"/>
              </a:rPr>
              <a:t>within this range</a:t>
            </a:r>
            <a:endParaRPr lang="en-US"/>
          </a:p>
        </xdr:txBody>
      </xdr:sp>
      <xdr:sp macro="" textlink="">
        <xdr:nvSpPr>
          <xdr:cNvPr id="52837" name="Line 80">
            <a:extLst>
              <a:ext uri="{FF2B5EF4-FFF2-40B4-BE49-F238E27FC236}">
                <a16:creationId xmlns:a16="http://schemas.microsoft.com/office/drawing/2014/main" id="{00000000-0008-0000-0D00-000065CE0000}"/>
              </a:ext>
            </a:extLst>
          </xdr:cNvPr>
          <xdr:cNvSpPr>
            <a:spLocks noChangeShapeType="1"/>
          </xdr:cNvSpPr>
        </xdr:nvSpPr>
        <xdr:spPr bwMode="auto">
          <a:xfrm>
            <a:off x="921" y="171"/>
            <a:ext cx="0" cy="27"/>
          </a:xfrm>
          <a:prstGeom prst="line">
            <a:avLst/>
          </a:prstGeom>
          <a:noFill/>
          <a:ln w="9525">
            <a:solidFill>
              <a:srgbClr val="C00000"/>
            </a:solidFill>
            <a:round/>
            <a:headEnd type="triangle" w="med" len="med"/>
            <a:tailEnd type="triangle" w="med" len="med"/>
          </a:ln>
        </xdr:spPr>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a:extLst>
            <a:ext uri="{FF2B5EF4-FFF2-40B4-BE49-F238E27FC236}">
              <a16:creationId xmlns:a16="http://schemas.microsoft.com/office/drawing/2014/main" id="{4016BD81-BFF5-4DC0-AAB7-2250B9AF2738}"/>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90488</xdr:colOff>
      <xdr:row>3</xdr:row>
      <xdr:rowOff>152399</xdr:rowOff>
    </xdr:from>
    <xdr:to>
      <xdr:col>8</xdr:col>
      <xdr:colOff>1433513</xdr:colOff>
      <xdr:row>12</xdr:row>
      <xdr:rowOff>185737</xdr:rowOff>
    </xdr:to>
    <xdr:graphicFrame macro="">
      <xdr:nvGraphicFramePr>
        <xdr:cNvPr id="2" name="Chart 3" descr="graph showing the user-entered min and max level data over time">
          <a:extLst>
            <a:ext uri="{FF2B5EF4-FFF2-40B4-BE49-F238E27FC236}">
              <a16:creationId xmlns:a16="http://schemas.microsoft.com/office/drawing/2014/main" id="{16F109EE-ABAD-45BA-BA92-E82CF71172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6</xdr:col>
      <xdr:colOff>90488</xdr:colOff>
      <xdr:row>3</xdr:row>
      <xdr:rowOff>152399</xdr:rowOff>
    </xdr:from>
    <xdr:to>
      <xdr:col>8</xdr:col>
      <xdr:colOff>1433513</xdr:colOff>
      <xdr:row>12</xdr:row>
      <xdr:rowOff>185737</xdr:rowOff>
    </xdr:to>
    <xdr:graphicFrame macro="">
      <xdr:nvGraphicFramePr>
        <xdr:cNvPr id="2" name="Chart 3" descr="graph showing the user-entered min and max level data over time">
          <a:extLst>
            <a:ext uri="{FF2B5EF4-FFF2-40B4-BE49-F238E27FC236}">
              <a16:creationId xmlns:a16="http://schemas.microsoft.com/office/drawing/2014/main" id="{CB32B508-57B7-42A3-A3A5-600B7E76ED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6</xdr:col>
      <xdr:colOff>90488</xdr:colOff>
      <xdr:row>3</xdr:row>
      <xdr:rowOff>152399</xdr:rowOff>
    </xdr:from>
    <xdr:to>
      <xdr:col>8</xdr:col>
      <xdr:colOff>1433513</xdr:colOff>
      <xdr:row>12</xdr:row>
      <xdr:rowOff>185737</xdr:rowOff>
    </xdr:to>
    <xdr:graphicFrame macro="">
      <xdr:nvGraphicFramePr>
        <xdr:cNvPr id="2" name="Chart 3" descr="graph showing the user-entered min and max level data over time">
          <a:extLst>
            <a:ext uri="{FF2B5EF4-FFF2-40B4-BE49-F238E27FC236}">
              <a16:creationId xmlns:a16="http://schemas.microsoft.com/office/drawing/2014/main" id="{119A8711-D2E9-40E1-8F4A-477307939C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dr:twoCellAnchor>
    <xdr:from>
      <xdr:col>6</xdr:col>
      <xdr:colOff>90488</xdr:colOff>
      <xdr:row>3</xdr:row>
      <xdr:rowOff>152399</xdr:rowOff>
    </xdr:from>
    <xdr:to>
      <xdr:col>8</xdr:col>
      <xdr:colOff>1433513</xdr:colOff>
      <xdr:row>12</xdr:row>
      <xdr:rowOff>185737</xdr:rowOff>
    </xdr:to>
    <xdr:graphicFrame macro="">
      <xdr:nvGraphicFramePr>
        <xdr:cNvPr id="2" name="Chart 3" descr="graph showing the user-entered min and max level data over time">
          <a:extLst>
            <a:ext uri="{FF2B5EF4-FFF2-40B4-BE49-F238E27FC236}">
              <a16:creationId xmlns:a16="http://schemas.microsoft.com/office/drawing/2014/main" id="{3C5A61F9-ABFF-4431-92EB-9A39CDA289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dr:twoCellAnchor>
    <xdr:from>
      <xdr:col>6</xdr:col>
      <xdr:colOff>90488</xdr:colOff>
      <xdr:row>3</xdr:row>
      <xdr:rowOff>152399</xdr:rowOff>
    </xdr:from>
    <xdr:to>
      <xdr:col>8</xdr:col>
      <xdr:colOff>1433513</xdr:colOff>
      <xdr:row>12</xdr:row>
      <xdr:rowOff>185737</xdr:rowOff>
    </xdr:to>
    <xdr:graphicFrame macro="">
      <xdr:nvGraphicFramePr>
        <xdr:cNvPr id="2" name="Chart 3" descr="graph showing the user-entered min and max level data over time">
          <a:extLst>
            <a:ext uri="{FF2B5EF4-FFF2-40B4-BE49-F238E27FC236}">
              <a16:creationId xmlns:a16="http://schemas.microsoft.com/office/drawing/2014/main" id="{D0A44F6E-F88F-4D4E-B0B8-62341AD2EB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dr:twoCellAnchor>
    <xdr:from>
      <xdr:col>6</xdr:col>
      <xdr:colOff>90488</xdr:colOff>
      <xdr:row>3</xdr:row>
      <xdr:rowOff>152399</xdr:rowOff>
    </xdr:from>
    <xdr:to>
      <xdr:col>8</xdr:col>
      <xdr:colOff>1433513</xdr:colOff>
      <xdr:row>12</xdr:row>
      <xdr:rowOff>185737</xdr:rowOff>
    </xdr:to>
    <xdr:graphicFrame macro="">
      <xdr:nvGraphicFramePr>
        <xdr:cNvPr id="2" name="Chart 3" descr="graph showing the user-entered min and max level data over time">
          <a:extLst>
            <a:ext uri="{FF2B5EF4-FFF2-40B4-BE49-F238E27FC236}">
              <a16:creationId xmlns:a16="http://schemas.microsoft.com/office/drawing/2014/main" id="{A625E8E1-B79D-4068-AEC7-C565EAFAD1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dr:twoCellAnchor>
    <xdr:from>
      <xdr:col>6</xdr:col>
      <xdr:colOff>90488</xdr:colOff>
      <xdr:row>3</xdr:row>
      <xdr:rowOff>152399</xdr:rowOff>
    </xdr:from>
    <xdr:to>
      <xdr:col>8</xdr:col>
      <xdr:colOff>1433513</xdr:colOff>
      <xdr:row>12</xdr:row>
      <xdr:rowOff>185737</xdr:rowOff>
    </xdr:to>
    <xdr:graphicFrame macro="">
      <xdr:nvGraphicFramePr>
        <xdr:cNvPr id="2" name="Chart 3" descr="graph showing the user-entered min and max level data over time">
          <a:extLst>
            <a:ext uri="{FF2B5EF4-FFF2-40B4-BE49-F238E27FC236}">
              <a16:creationId xmlns:a16="http://schemas.microsoft.com/office/drawing/2014/main" id="{1E40D887-4DD7-4C47-B569-6DB3E8EB96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dr:twoCellAnchor>
    <xdr:from>
      <xdr:col>6</xdr:col>
      <xdr:colOff>90488</xdr:colOff>
      <xdr:row>3</xdr:row>
      <xdr:rowOff>152399</xdr:rowOff>
    </xdr:from>
    <xdr:to>
      <xdr:col>8</xdr:col>
      <xdr:colOff>1433513</xdr:colOff>
      <xdr:row>12</xdr:row>
      <xdr:rowOff>185737</xdr:rowOff>
    </xdr:to>
    <xdr:graphicFrame macro="">
      <xdr:nvGraphicFramePr>
        <xdr:cNvPr id="2" name="Chart 3" descr="graph showing the user-entered min and max level data over time">
          <a:extLst>
            <a:ext uri="{FF2B5EF4-FFF2-40B4-BE49-F238E27FC236}">
              <a16:creationId xmlns:a16="http://schemas.microsoft.com/office/drawing/2014/main" id="{C73AB440-8F2E-405C-A889-7C48E35CB9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W62"/>
  <sheetViews>
    <sheetView showGridLines="0" tabSelected="1" topLeftCell="A7" zoomScale="115" zoomScaleNormal="115" workbookViewId="0">
      <selection activeCell="B57" sqref="B57"/>
    </sheetView>
  </sheetViews>
  <sheetFormatPr defaultRowHeight="12.5" x14ac:dyDescent="0.25"/>
  <cols>
    <col min="1" max="1" width="1.1796875" style="173" customWidth="1"/>
    <col min="2" max="17" width="9.1796875" customWidth="1"/>
    <col min="18" max="18" width="8.1796875" customWidth="1"/>
    <col min="20" max="43" width="9.1796875" style="28"/>
    <col min="44" max="101" width="9.1796875" style="29"/>
  </cols>
  <sheetData>
    <row r="1" spans="1:101" ht="5.25" customHeight="1" thickBot="1" x14ac:dyDescent="0.3"/>
    <row r="2" spans="1:101" ht="16" thickBot="1" x14ac:dyDescent="0.3">
      <c r="B2" s="475" t="s">
        <v>190</v>
      </c>
      <c r="C2" s="358"/>
      <c r="D2" s="358"/>
      <c r="E2" s="358"/>
      <c r="F2" s="358"/>
      <c r="G2" s="358"/>
      <c r="H2" s="358"/>
      <c r="I2" s="358"/>
      <c r="J2" s="358"/>
      <c r="K2" s="358"/>
      <c r="L2" s="358"/>
      <c r="M2" s="358"/>
      <c r="N2" s="358"/>
      <c r="O2" s="358"/>
      <c r="P2" s="358"/>
      <c r="Q2" s="358"/>
      <c r="R2" s="359"/>
      <c r="S2" s="28"/>
    </row>
    <row r="3" spans="1:101" s="9" customFormat="1" ht="16" thickBot="1" x14ac:dyDescent="0.4">
      <c r="A3" s="173"/>
      <c r="B3" s="220" t="s">
        <v>112</v>
      </c>
      <c r="C3" s="108"/>
      <c r="D3" s="108"/>
      <c r="E3" s="108"/>
      <c r="F3" s="108"/>
      <c r="G3" s="108"/>
      <c r="H3" s="108"/>
      <c r="I3" s="108"/>
      <c r="J3" s="110"/>
      <c r="K3" s="110"/>
      <c r="L3" s="110"/>
      <c r="M3" s="111"/>
      <c r="N3" s="111"/>
      <c r="O3" s="111"/>
      <c r="P3" s="111"/>
      <c r="Q3" s="111"/>
      <c r="R3" s="164"/>
      <c r="S3" s="28"/>
      <c r="T3" s="28"/>
      <c r="U3" s="28"/>
      <c r="V3" s="28"/>
      <c r="W3" s="28"/>
      <c r="X3" s="28"/>
      <c r="Y3" s="28"/>
      <c r="Z3" s="28"/>
      <c r="AA3" s="28"/>
      <c r="AB3" s="28"/>
      <c r="AC3" s="28"/>
      <c r="AD3" s="28"/>
      <c r="AE3" s="28"/>
      <c r="AF3" s="28"/>
      <c r="AG3" s="28"/>
      <c r="AH3" s="28"/>
      <c r="AI3" s="28"/>
      <c r="AJ3" s="28"/>
      <c r="AK3" s="28"/>
      <c r="AL3" s="28"/>
      <c r="AM3" s="28"/>
      <c r="AN3" s="28"/>
      <c r="AO3" s="28"/>
      <c r="AP3" s="28"/>
      <c r="AQ3" s="28"/>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row>
    <row r="4" spans="1:101" x14ac:dyDescent="0.25">
      <c r="B4" s="373" t="s">
        <v>212</v>
      </c>
      <c r="C4" s="355"/>
      <c r="D4" s="355"/>
      <c r="E4" s="355"/>
      <c r="F4" s="355"/>
      <c r="G4" s="355"/>
      <c r="H4" s="355"/>
      <c r="I4" s="355"/>
      <c r="J4" s="355"/>
      <c r="K4" s="355"/>
      <c r="L4" s="355"/>
      <c r="M4" s="355"/>
      <c r="N4" s="355"/>
      <c r="O4" s="355"/>
      <c r="P4" s="355"/>
      <c r="Q4" s="355"/>
      <c r="R4" s="356"/>
      <c r="S4" s="28"/>
    </row>
    <row r="5" spans="1:101" x14ac:dyDescent="0.25">
      <c r="B5" s="374" t="s">
        <v>213</v>
      </c>
      <c r="C5" s="375"/>
      <c r="D5" s="375"/>
      <c r="E5" s="375"/>
      <c r="F5" s="375"/>
      <c r="G5" s="375"/>
      <c r="H5" s="375"/>
      <c r="I5" s="375"/>
      <c r="J5" s="375"/>
      <c r="K5" s="375"/>
      <c r="L5" s="375"/>
      <c r="M5" s="375"/>
      <c r="N5" s="375"/>
      <c r="O5" s="375"/>
      <c r="P5" s="375"/>
      <c r="Q5" s="375"/>
      <c r="R5" s="376"/>
      <c r="S5" s="28"/>
    </row>
    <row r="6" spans="1:101" x14ac:dyDescent="0.25">
      <c r="B6" s="374" t="s">
        <v>214</v>
      </c>
      <c r="C6" s="375"/>
      <c r="D6" s="375"/>
      <c r="E6" s="375"/>
      <c r="F6" s="375"/>
      <c r="G6" s="375"/>
      <c r="H6" s="375"/>
      <c r="I6" s="375"/>
      <c r="J6" s="375"/>
      <c r="K6" s="375"/>
      <c r="L6" s="375"/>
      <c r="M6" s="375"/>
      <c r="N6" s="375"/>
      <c r="O6" s="375"/>
      <c r="P6" s="375"/>
      <c r="Q6" s="375"/>
      <c r="R6" s="376"/>
      <c r="S6" s="28"/>
    </row>
    <row r="7" spans="1:101" ht="13" thickBot="1" x14ac:dyDescent="0.3">
      <c r="B7" s="374" t="s">
        <v>215</v>
      </c>
      <c r="C7" s="375"/>
      <c r="D7" s="375"/>
      <c r="E7" s="375"/>
      <c r="F7" s="375"/>
      <c r="G7" s="375"/>
      <c r="H7" s="375"/>
      <c r="I7" s="375"/>
      <c r="J7" s="375"/>
      <c r="K7" s="375"/>
      <c r="L7" s="375"/>
      <c r="M7" s="375"/>
      <c r="N7" s="375"/>
      <c r="O7" s="375"/>
      <c r="P7" s="375"/>
      <c r="Q7" s="375"/>
      <c r="R7" s="376"/>
      <c r="S7" s="28"/>
    </row>
    <row r="8" spans="1:101" s="9" customFormat="1" ht="16" thickBot="1" x14ac:dyDescent="0.4">
      <c r="A8" s="173"/>
      <c r="B8" s="220" t="s">
        <v>130</v>
      </c>
      <c r="C8" s="108"/>
      <c r="D8" s="108"/>
      <c r="E8" s="108"/>
      <c r="F8" s="108"/>
      <c r="G8" s="108"/>
      <c r="H8" s="108"/>
      <c r="I8" s="108"/>
      <c r="J8" s="110"/>
      <c r="K8" s="110"/>
      <c r="L8" s="110"/>
      <c r="M8" s="111"/>
      <c r="N8" s="111"/>
      <c r="O8" s="111"/>
      <c r="P8" s="111"/>
      <c r="Q8" s="111"/>
      <c r="R8" s="164"/>
      <c r="S8" s="28"/>
      <c r="T8" s="28"/>
      <c r="U8" s="28"/>
      <c r="V8" s="28"/>
      <c r="W8" s="28"/>
      <c r="X8" s="28"/>
      <c r="Y8" s="28"/>
      <c r="Z8" s="28"/>
      <c r="AA8" s="28"/>
      <c r="AB8" s="28"/>
      <c r="AC8" s="28"/>
      <c r="AD8" s="28"/>
      <c r="AE8" s="28"/>
      <c r="AF8" s="28"/>
      <c r="AG8" s="28"/>
      <c r="AH8" s="28"/>
      <c r="AI8" s="28"/>
      <c r="AJ8" s="28"/>
      <c r="AK8" s="28"/>
      <c r="AL8" s="28"/>
      <c r="AM8" s="28"/>
      <c r="AN8" s="28"/>
      <c r="AO8" s="28"/>
      <c r="AP8" s="28"/>
      <c r="AQ8" s="28"/>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row>
    <row r="9" spans="1:101" s="10" customFormat="1" x14ac:dyDescent="0.25">
      <c r="A9" s="174"/>
      <c r="B9" s="175" t="s">
        <v>113</v>
      </c>
      <c r="C9" s="174"/>
      <c r="D9" s="174"/>
      <c r="E9" s="174"/>
      <c r="F9" s="174"/>
      <c r="G9" s="174"/>
      <c r="H9" s="174"/>
      <c r="I9" s="174"/>
      <c r="J9" s="174"/>
      <c r="K9" s="174"/>
      <c r="L9" s="174"/>
      <c r="M9" s="174"/>
      <c r="N9" s="174"/>
      <c r="O9" s="174"/>
      <c r="P9" s="174"/>
      <c r="Q9" s="174"/>
      <c r="R9" s="242"/>
    </row>
    <row r="10" spans="1:101" s="10" customFormat="1" x14ac:dyDescent="0.25">
      <c r="A10" s="174"/>
      <c r="B10" s="175" t="s">
        <v>128</v>
      </c>
      <c r="C10" s="176"/>
      <c r="D10" s="176"/>
      <c r="E10" s="176"/>
      <c r="F10" s="176"/>
      <c r="G10" s="176"/>
      <c r="H10" s="176"/>
      <c r="I10" s="176"/>
      <c r="J10" s="176"/>
      <c r="K10" s="176"/>
      <c r="L10" s="176"/>
      <c r="M10" s="176"/>
      <c r="N10" s="176"/>
      <c r="O10" s="176"/>
      <c r="P10" s="176"/>
      <c r="Q10" s="176"/>
      <c r="R10" s="243"/>
    </row>
    <row r="11" spans="1:101" s="10" customFormat="1" x14ac:dyDescent="0.25">
      <c r="A11" s="174"/>
      <c r="B11" s="175" t="s">
        <v>129</v>
      </c>
      <c r="C11" s="176"/>
      <c r="D11" s="176"/>
      <c r="E11" s="176"/>
      <c r="F11" s="176"/>
      <c r="G11" s="176"/>
      <c r="H11" s="176"/>
      <c r="I11" s="176"/>
      <c r="J11" s="176"/>
      <c r="K11" s="176"/>
      <c r="L11" s="176"/>
      <c r="M11" s="176"/>
      <c r="N11" s="176"/>
      <c r="O11" s="176"/>
      <c r="P11" s="176"/>
      <c r="Q11" s="176"/>
      <c r="R11" s="243"/>
    </row>
    <row r="12" spans="1:101" s="10" customFormat="1" ht="13" x14ac:dyDescent="0.25">
      <c r="A12" s="174"/>
      <c r="B12" s="175" t="s">
        <v>132</v>
      </c>
      <c r="C12" s="176"/>
      <c r="D12" s="176"/>
      <c r="E12" s="176"/>
      <c r="F12" s="176"/>
      <c r="G12" s="176"/>
      <c r="H12" s="176"/>
      <c r="I12" s="176"/>
      <c r="J12" s="176"/>
      <c r="K12" s="176"/>
      <c r="L12" s="176"/>
      <c r="M12" s="176"/>
      <c r="N12" s="176"/>
      <c r="O12" s="176"/>
      <c r="P12" s="176"/>
      <c r="Q12" s="176"/>
      <c r="R12" s="243"/>
    </row>
    <row r="13" spans="1:101" s="10" customFormat="1" ht="13" x14ac:dyDescent="0.25">
      <c r="A13" s="174"/>
      <c r="B13" s="175" t="s">
        <v>114</v>
      </c>
      <c r="C13" s="176"/>
      <c r="D13" s="176"/>
      <c r="E13" s="176"/>
      <c r="F13" s="176"/>
      <c r="G13" s="176"/>
      <c r="H13" s="176"/>
      <c r="I13" s="176"/>
      <c r="J13" s="176"/>
      <c r="K13" s="176"/>
      <c r="L13" s="176"/>
      <c r="M13" s="176"/>
      <c r="N13" s="176"/>
      <c r="O13" s="176"/>
      <c r="P13" s="176"/>
      <c r="Q13" s="176"/>
      <c r="R13" s="243"/>
    </row>
    <row r="14" spans="1:101" s="10" customFormat="1" ht="13" x14ac:dyDescent="0.25">
      <c r="A14" s="174"/>
      <c r="B14" s="175" t="s">
        <v>172</v>
      </c>
      <c r="C14" s="176"/>
      <c r="D14" s="176"/>
      <c r="E14" s="176"/>
      <c r="F14" s="176"/>
      <c r="G14" s="176"/>
      <c r="H14" s="176"/>
      <c r="I14" s="176"/>
      <c r="J14" s="176"/>
      <c r="K14" s="176"/>
      <c r="L14" s="176"/>
      <c r="M14" s="176"/>
      <c r="N14" s="176"/>
      <c r="O14" s="176"/>
      <c r="P14" s="176"/>
      <c r="Q14" s="176"/>
      <c r="R14" s="243"/>
    </row>
    <row r="15" spans="1:101" s="10" customFormat="1" ht="13" x14ac:dyDescent="0.25">
      <c r="A15" s="174"/>
      <c r="B15" s="175" t="s">
        <v>115</v>
      </c>
      <c r="C15" s="176"/>
      <c r="D15" s="176"/>
      <c r="E15" s="176"/>
      <c r="F15" s="176"/>
      <c r="G15" s="176"/>
      <c r="H15" s="176"/>
      <c r="I15" s="176"/>
      <c r="J15" s="176"/>
      <c r="K15" s="176"/>
      <c r="L15" s="176"/>
      <c r="M15" s="176"/>
      <c r="N15" s="176"/>
      <c r="O15" s="176"/>
      <c r="P15" s="176"/>
      <c r="Q15" s="176"/>
      <c r="R15" s="243"/>
    </row>
    <row r="16" spans="1:101" s="10" customFormat="1" ht="13" x14ac:dyDescent="0.25">
      <c r="A16" s="174"/>
      <c r="B16" s="175" t="s">
        <v>116</v>
      </c>
      <c r="C16" s="176"/>
      <c r="D16" s="176"/>
      <c r="E16" s="176"/>
      <c r="F16" s="176"/>
      <c r="G16" s="176"/>
      <c r="H16" s="176"/>
      <c r="I16" s="176"/>
      <c r="J16" s="176"/>
      <c r="K16" s="176"/>
      <c r="L16" s="176"/>
      <c r="M16" s="176"/>
      <c r="N16" s="176"/>
      <c r="O16" s="176"/>
      <c r="P16" s="176"/>
      <c r="Q16" s="176"/>
      <c r="R16" s="243"/>
    </row>
    <row r="17" spans="1:101" s="10" customFormat="1" ht="13" thickBot="1" x14ac:dyDescent="0.3">
      <c r="A17" s="174"/>
      <c r="B17" s="175" t="s">
        <v>173</v>
      </c>
      <c r="C17" s="176"/>
      <c r="D17" s="176"/>
      <c r="E17" s="176"/>
      <c r="F17" s="176"/>
      <c r="G17" s="176"/>
      <c r="H17" s="176"/>
      <c r="I17" s="176"/>
      <c r="J17" s="176"/>
      <c r="K17" s="176"/>
      <c r="L17" s="176"/>
      <c r="M17" s="176"/>
      <c r="N17" s="176"/>
      <c r="O17" s="176"/>
      <c r="P17" s="176"/>
      <c r="Q17" s="176"/>
      <c r="R17" s="243"/>
    </row>
    <row r="18" spans="1:101" s="9" customFormat="1" ht="16" thickBot="1" x14ac:dyDescent="0.4">
      <c r="A18" s="173"/>
      <c r="B18" s="109" t="s">
        <v>117</v>
      </c>
      <c r="C18" s="108"/>
      <c r="D18" s="108"/>
      <c r="E18" s="108"/>
      <c r="F18" s="108"/>
      <c r="G18" s="108"/>
      <c r="H18" s="108"/>
      <c r="I18" s="108"/>
      <c r="J18" s="110"/>
      <c r="K18" s="110"/>
      <c r="L18" s="110"/>
      <c r="M18" s="111"/>
      <c r="N18" s="111"/>
      <c r="O18" s="111"/>
      <c r="P18" s="111"/>
      <c r="Q18" s="111"/>
      <c r="R18" s="164"/>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row>
    <row r="19" spans="1:101" s="166" customFormat="1" x14ac:dyDescent="0.25">
      <c r="A19" s="177"/>
      <c r="B19" s="377" t="s">
        <v>118</v>
      </c>
      <c r="C19" s="378"/>
      <c r="D19" s="378"/>
      <c r="E19" s="378"/>
      <c r="F19" s="378"/>
      <c r="G19" s="378"/>
      <c r="H19" s="378"/>
      <c r="I19" s="378"/>
      <c r="J19" s="378"/>
      <c r="K19" s="378"/>
      <c r="L19" s="378"/>
      <c r="M19" s="378"/>
      <c r="N19" s="378"/>
      <c r="O19" s="378"/>
      <c r="P19" s="378"/>
      <c r="Q19" s="378"/>
      <c r="R19" s="379"/>
    </row>
    <row r="20" spans="1:101" s="166" customFormat="1" ht="15.5" x14ac:dyDescent="0.25">
      <c r="A20" s="177"/>
      <c r="B20" s="165" t="s">
        <v>119</v>
      </c>
      <c r="C20" s="167"/>
      <c r="D20" s="167"/>
      <c r="E20" s="167"/>
      <c r="F20" s="167"/>
      <c r="G20" s="167"/>
      <c r="H20" s="167"/>
      <c r="I20" s="167"/>
      <c r="J20" s="168"/>
      <c r="K20" s="168"/>
      <c r="L20" s="168"/>
      <c r="R20" s="244"/>
    </row>
    <row r="21" spans="1:101" s="166" customFormat="1" ht="15.5" x14ac:dyDescent="0.25">
      <c r="A21" s="177"/>
      <c r="B21" s="165" t="s">
        <v>120</v>
      </c>
      <c r="C21" s="167"/>
      <c r="D21" s="167"/>
      <c r="E21" s="167"/>
      <c r="F21" s="167"/>
      <c r="G21" s="167"/>
      <c r="H21" s="167"/>
      <c r="I21" s="167"/>
      <c r="J21" s="168"/>
      <c r="K21" s="168"/>
      <c r="L21" s="168"/>
      <c r="R21" s="244"/>
    </row>
    <row r="22" spans="1:101" s="166" customFormat="1" ht="15.5" x14ac:dyDescent="0.25">
      <c r="A22" s="177"/>
      <c r="B22" s="331" t="s">
        <v>195</v>
      </c>
      <c r="C22" s="167"/>
      <c r="D22" s="167"/>
      <c r="E22" s="167"/>
      <c r="F22" s="167"/>
      <c r="G22" s="167"/>
      <c r="H22" s="167"/>
      <c r="I22" s="167"/>
      <c r="J22" s="168"/>
      <c r="K22" s="168"/>
      <c r="L22" s="168"/>
      <c r="R22" s="244"/>
    </row>
    <row r="23" spans="1:101" s="166" customFormat="1" ht="15.5" x14ac:dyDescent="0.25">
      <c r="A23" s="177"/>
      <c r="B23" s="165" t="s">
        <v>121</v>
      </c>
      <c r="C23" s="167"/>
      <c r="D23" s="167"/>
      <c r="E23" s="167"/>
      <c r="F23" s="167"/>
      <c r="G23" s="167"/>
      <c r="H23" s="167"/>
      <c r="I23" s="167"/>
      <c r="J23" s="168"/>
      <c r="K23" s="168"/>
      <c r="L23" s="168"/>
      <c r="R23" s="244"/>
    </row>
    <row r="24" spans="1:101" s="166" customFormat="1" ht="15.5" x14ac:dyDescent="0.25">
      <c r="A24" s="177"/>
      <c r="B24" s="165" t="s">
        <v>120</v>
      </c>
      <c r="C24" s="167"/>
      <c r="D24" s="167"/>
      <c r="E24" s="167"/>
      <c r="F24" s="167"/>
      <c r="G24" s="167"/>
      <c r="H24" s="167"/>
      <c r="I24" s="167"/>
      <c r="J24" s="168"/>
      <c r="K24" s="168"/>
      <c r="L24" s="168"/>
      <c r="R24" s="244"/>
    </row>
    <row r="25" spans="1:101" s="166" customFormat="1" ht="15.5" x14ac:dyDescent="0.25">
      <c r="A25" s="177"/>
      <c r="B25" s="331" t="s">
        <v>307</v>
      </c>
      <c r="C25" s="167"/>
      <c r="D25" s="167"/>
      <c r="E25" s="167"/>
      <c r="F25" s="167"/>
      <c r="G25" s="167"/>
      <c r="H25" s="167"/>
      <c r="I25" s="167"/>
      <c r="J25" s="168"/>
      <c r="K25" s="168"/>
      <c r="L25" s="168"/>
      <c r="R25" s="244"/>
    </row>
    <row r="26" spans="1:101" s="166" customFormat="1" ht="15.5" x14ac:dyDescent="0.25">
      <c r="A26" s="177"/>
      <c r="B26" s="165" t="s">
        <v>122</v>
      </c>
      <c r="C26" s="167"/>
      <c r="D26" s="167"/>
      <c r="E26" s="167"/>
      <c r="F26" s="167"/>
      <c r="G26" s="167"/>
      <c r="H26" s="167"/>
      <c r="I26" s="167"/>
      <c r="J26" s="168"/>
      <c r="K26" s="168"/>
      <c r="L26" s="168"/>
      <c r="R26" s="244"/>
    </row>
    <row r="27" spans="1:101" s="166" customFormat="1" ht="15.5" x14ac:dyDescent="0.25">
      <c r="A27" s="177"/>
      <c r="B27" s="165" t="s">
        <v>123</v>
      </c>
      <c r="C27" s="167"/>
      <c r="D27" s="167"/>
      <c r="E27" s="167"/>
      <c r="F27" s="167"/>
      <c r="G27" s="167"/>
      <c r="H27" s="167"/>
      <c r="I27" s="167"/>
      <c r="J27" s="168"/>
      <c r="K27" s="168"/>
      <c r="L27" s="168"/>
      <c r="R27" s="244"/>
    </row>
    <row r="28" spans="1:101" s="166" customFormat="1" ht="15.5" x14ac:dyDescent="0.25">
      <c r="A28" s="177"/>
      <c r="B28" s="165" t="s">
        <v>124</v>
      </c>
      <c r="C28" s="167"/>
      <c r="D28" s="167"/>
      <c r="E28" s="167"/>
      <c r="F28" s="167"/>
      <c r="G28" s="167"/>
      <c r="H28" s="167"/>
      <c r="I28" s="167"/>
      <c r="J28" s="168"/>
      <c r="K28" s="168"/>
      <c r="L28" s="168"/>
      <c r="R28" s="244"/>
    </row>
    <row r="29" spans="1:101" s="166" customFormat="1" ht="16" thickBot="1" x14ac:dyDescent="0.3">
      <c r="A29" s="177"/>
      <c r="B29" s="331" t="s">
        <v>193</v>
      </c>
      <c r="C29" s="255"/>
      <c r="D29" s="255"/>
      <c r="E29" s="255"/>
      <c r="F29" s="255"/>
      <c r="G29" s="255"/>
      <c r="H29" s="255"/>
      <c r="I29" s="255"/>
      <c r="J29" s="256"/>
      <c r="K29" s="256"/>
      <c r="L29" s="256"/>
      <c r="M29" s="257"/>
      <c r="N29" s="257"/>
      <c r="O29" s="257"/>
      <c r="P29" s="257"/>
      <c r="Q29" s="257"/>
      <c r="R29" s="258"/>
    </row>
    <row r="30" spans="1:101" s="9" customFormat="1" ht="16" thickBot="1" x14ac:dyDescent="0.4">
      <c r="A30" s="173"/>
      <c r="B30" s="109" t="s">
        <v>176</v>
      </c>
      <c r="C30" s="108"/>
      <c r="D30" s="108"/>
      <c r="E30" s="108"/>
      <c r="F30" s="108"/>
      <c r="G30" s="108"/>
      <c r="H30" s="108"/>
      <c r="I30" s="108"/>
      <c r="J30" s="110"/>
      <c r="K30" s="110"/>
      <c r="L30" s="110"/>
      <c r="M30" s="111"/>
      <c r="N30" s="111"/>
      <c r="O30" s="111"/>
      <c r="P30" s="111"/>
      <c r="Q30" s="360"/>
      <c r="R30" s="361"/>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row>
    <row r="31" spans="1:101" ht="15.5" x14ac:dyDescent="0.25">
      <c r="B31" s="380">
        <v>37918</v>
      </c>
      <c r="C31" s="318" t="s">
        <v>177</v>
      </c>
      <c r="E31" s="318"/>
      <c r="F31" s="318"/>
      <c r="G31" s="318"/>
      <c r="H31" s="318"/>
      <c r="I31" s="318"/>
      <c r="J31" s="318"/>
      <c r="K31" s="319"/>
      <c r="L31" s="320"/>
      <c r="M31" s="320"/>
      <c r="N31" s="320"/>
      <c r="O31" s="321"/>
      <c r="P31" s="321"/>
      <c r="Q31" s="321"/>
      <c r="R31" s="315"/>
    </row>
    <row r="32" spans="1:101" ht="15.5" x14ac:dyDescent="0.25">
      <c r="B32" s="381">
        <v>38243</v>
      </c>
      <c r="C32" s="318" t="s">
        <v>178</v>
      </c>
      <c r="E32" s="318"/>
      <c r="F32" s="318"/>
      <c r="G32" s="318"/>
      <c r="H32" s="318"/>
      <c r="I32" s="318"/>
      <c r="J32" s="318"/>
      <c r="K32" s="319"/>
      <c r="L32" s="320"/>
      <c r="M32" s="320"/>
      <c r="N32" s="320"/>
      <c r="O32" s="322"/>
      <c r="P32" s="322"/>
      <c r="Q32" s="322"/>
      <c r="R32" s="317"/>
    </row>
    <row r="33" spans="2:18" ht="15.5" x14ac:dyDescent="0.25">
      <c r="B33" s="381">
        <v>38266</v>
      </c>
      <c r="C33" s="318" t="s">
        <v>179</v>
      </c>
      <c r="E33" s="318"/>
      <c r="F33" s="318"/>
      <c r="G33" s="318"/>
      <c r="H33" s="318"/>
      <c r="I33" s="318"/>
      <c r="J33" s="318"/>
      <c r="K33" s="319"/>
      <c r="L33" s="320"/>
      <c r="M33" s="320"/>
      <c r="N33" s="320"/>
      <c r="O33" s="322"/>
      <c r="P33" s="322"/>
      <c r="Q33" s="322"/>
      <c r="R33" s="317"/>
    </row>
    <row r="34" spans="2:18" x14ac:dyDescent="0.25">
      <c r="B34" s="382">
        <v>38334</v>
      </c>
      <c r="C34" s="320" t="s">
        <v>180</v>
      </c>
      <c r="E34" s="320"/>
      <c r="F34" s="320"/>
      <c r="G34" s="320"/>
      <c r="H34" s="320"/>
      <c r="I34" s="320"/>
      <c r="J34" s="320"/>
      <c r="K34" s="320"/>
      <c r="L34" s="320"/>
      <c r="M34" s="320"/>
      <c r="N34" s="320"/>
      <c r="O34" s="322"/>
      <c r="P34" s="322"/>
      <c r="Q34" s="322"/>
      <c r="R34" s="317"/>
    </row>
    <row r="35" spans="2:18" x14ac:dyDescent="0.25">
      <c r="B35" s="382">
        <v>38379</v>
      </c>
      <c r="C35" s="320" t="s">
        <v>181</v>
      </c>
      <c r="E35" s="320"/>
      <c r="F35" s="320"/>
      <c r="G35" s="320"/>
      <c r="H35" s="320"/>
      <c r="I35" s="320"/>
      <c r="J35" s="320"/>
      <c r="K35" s="320"/>
      <c r="L35" s="320"/>
      <c r="M35" s="320"/>
      <c r="N35" s="320"/>
      <c r="O35" s="322"/>
      <c r="P35" s="322"/>
      <c r="Q35" s="322"/>
      <c r="R35" s="317"/>
    </row>
    <row r="36" spans="2:18" x14ac:dyDescent="0.25">
      <c r="B36" s="382">
        <v>38538</v>
      </c>
      <c r="C36" s="323" t="s">
        <v>182</v>
      </c>
      <c r="E36" s="320"/>
      <c r="F36" s="320"/>
      <c r="G36" s="320"/>
      <c r="H36" s="320"/>
      <c r="I36" s="320"/>
      <c r="J36" s="320"/>
      <c r="K36" s="320"/>
      <c r="L36" s="320"/>
      <c r="M36" s="320"/>
      <c r="N36" s="320"/>
      <c r="O36" s="322"/>
      <c r="P36" s="322"/>
      <c r="Q36" s="322"/>
      <c r="R36" s="317"/>
    </row>
    <row r="37" spans="2:18" x14ac:dyDescent="0.25">
      <c r="B37" s="382">
        <v>38617</v>
      </c>
      <c r="C37" s="323" t="s">
        <v>183</v>
      </c>
      <c r="E37" s="320"/>
      <c r="F37" s="320"/>
      <c r="G37" s="320"/>
      <c r="H37" s="320"/>
      <c r="I37" s="320"/>
      <c r="J37" s="320"/>
      <c r="K37" s="320"/>
      <c r="L37" s="320"/>
      <c r="M37" s="320"/>
      <c r="N37" s="320"/>
      <c r="O37" s="322"/>
      <c r="P37" s="322"/>
      <c r="Q37" s="322"/>
      <c r="R37" s="317"/>
    </row>
    <row r="38" spans="2:18" ht="12.75" customHeight="1" x14ac:dyDescent="0.25">
      <c r="B38" s="382">
        <v>38736</v>
      </c>
      <c r="C38" s="484" t="s">
        <v>291</v>
      </c>
      <c r="E38" s="323"/>
      <c r="F38" s="323"/>
      <c r="G38" s="323"/>
      <c r="H38" s="323"/>
      <c r="I38" s="323"/>
      <c r="J38" s="323"/>
      <c r="K38" s="323"/>
      <c r="L38" s="323"/>
      <c r="M38" s="323"/>
      <c r="N38" s="323"/>
      <c r="O38" s="322"/>
      <c r="P38" s="322"/>
      <c r="Q38" s="322"/>
      <c r="R38" s="317"/>
    </row>
    <row r="39" spans="2:18" x14ac:dyDescent="0.25">
      <c r="B39" s="382">
        <v>38972</v>
      </c>
      <c r="C39" s="320" t="s">
        <v>184</v>
      </c>
      <c r="E39" s="320"/>
      <c r="F39" s="320"/>
      <c r="G39" s="320"/>
      <c r="H39" s="320"/>
      <c r="I39" s="320"/>
      <c r="J39" s="320"/>
      <c r="K39" s="320"/>
      <c r="L39" s="320"/>
      <c r="M39" s="320"/>
      <c r="N39" s="320"/>
      <c r="O39" s="322"/>
      <c r="P39" s="322"/>
      <c r="Q39" s="322"/>
      <c r="R39" s="317"/>
    </row>
    <row r="40" spans="2:18" x14ac:dyDescent="0.25">
      <c r="B40" s="382">
        <v>39351</v>
      </c>
      <c r="C40" s="320" t="s">
        <v>185</v>
      </c>
      <c r="E40" s="320"/>
      <c r="F40" s="320"/>
      <c r="G40" s="320"/>
      <c r="H40" s="320"/>
      <c r="I40" s="320"/>
      <c r="J40" s="320"/>
      <c r="K40" s="320"/>
      <c r="L40" s="320"/>
      <c r="M40" s="320"/>
      <c r="N40" s="320"/>
      <c r="O40" s="322"/>
      <c r="P40" s="322"/>
      <c r="Q40" s="322"/>
      <c r="R40" s="317"/>
    </row>
    <row r="41" spans="2:18" ht="12.75" customHeight="1" x14ac:dyDescent="0.25">
      <c r="B41" s="382">
        <v>39912</v>
      </c>
      <c r="C41" s="387" t="s">
        <v>220</v>
      </c>
      <c r="E41" s="320"/>
      <c r="F41" s="320"/>
      <c r="G41" s="320"/>
      <c r="H41" s="320"/>
      <c r="I41" s="320"/>
      <c r="J41" s="320"/>
      <c r="K41" s="320"/>
      <c r="L41" s="320"/>
      <c r="M41" s="320"/>
      <c r="N41" s="320"/>
      <c r="O41" s="322"/>
      <c r="P41" s="322"/>
      <c r="Q41" s="322"/>
      <c r="R41" s="317"/>
    </row>
    <row r="42" spans="2:18" ht="12.75" customHeight="1" x14ac:dyDescent="0.25">
      <c r="B42" s="382"/>
      <c r="C42" s="387" t="s">
        <v>221</v>
      </c>
      <c r="E42" s="320"/>
      <c r="F42" s="320"/>
      <c r="G42" s="320"/>
      <c r="H42" s="320"/>
      <c r="I42" s="320"/>
      <c r="J42" s="320"/>
      <c r="K42" s="320"/>
      <c r="L42" s="320"/>
      <c r="M42" s="320"/>
      <c r="N42" s="320"/>
      <c r="O42" s="322"/>
      <c r="P42" s="322"/>
      <c r="Q42" s="322"/>
      <c r="R42" s="317"/>
    </row>
    <row r="43" spans="2:18" ht="12.75" customHeight="1" x14ac:dyDescent="0.25">
      <c r="B43" s="382">
        <v>40219</v>
      </c>
      <c r="C43" s="320" t="s">
        <v>186</v>
      </c>
      <c r="E43" s="320"/>
      <c r="F43" s="320"/>
      <c r="G43" s="320"/>
      <c r="H43" s="320"/>
      <c r="I43" s="320"/>
      <c r="J43" s="320"/>
      <c r="K43" s="320"/>
      <c r="L43" s="320"/>
      <c r="M43" s="320"/>
      <c r="N43" s="320"/>
      <c r="O43" s="322"/>
      <c r="P43" s="322"/>
      <c r="Q43" s="322"/>
      <c r="R43" s="317"/>
    </row>
    <row r="44" spans="2:18" ht="12.75" customHeight="1" x14ac:dyDescent="0.25">
      <c r="B44" s="382">
        <v>40260</v>
      </c>
      <c r="C44" s="387" t="s">
        <v>216</v>
      </c>
      <c r="E44" s="320"/>
      <c r="F44" s="320"/>
      <c r="G44" s="320"/>
      <c r="H44" s="320"/>
      <c r="I44" s="320"/>
      <c r="J44" s="320"/>
      <c r="K44" s="320"/>
      <c r="L44" s="320"/>
      <c r="M44" s="320"/>
      <c r="N44" s="320"/>
      <c r="O44" s="320"/>
      <c r="P44" s="320"/>
      <c r="Q44" s="320"/>
      <c r="R44" s="317"/>
    </row>
    <row r="45" spans="2:18" x14ac:dyDescent="0.25">
      <c r="B45" s="382"/>
      <c r="C45" s="388" t="s">
        <v>222</v>
      </c>
      <c r="D45" s="320"/>
      <c r="E45" s="320"/>
      <c r="F45" s="320"/>
      <c r="G45" s="320"/>
      <c r="H45" s="320"/>
      <c r="I45" s="320"/>
      <c r="J45" s="320"/>
      <c r="K45" s="320"/>
      <c r="L45" s="320"/>
      <c r="M45" s="320"/>
      <c r="N45" s="320"/>
      <c r="O45" s="320"/>
      <c r="P45" s="320"/>
      <c r="Q45" s="320"/>
      <c r="R45" s="317"/>
    </row>
    <row r="46" spans="2:18" ht="12.75" customHeight="1" x14ac:dyDescent="0.25">
      <c r="B46" s="383">
        <v>41361</v>
      </c>
      <c r="C46" s="330" t="s">
        <v>217</v>
      </c>
      <c r="E46" s="385"/>
      <c r="F46" s="385"/>
      <c r="G46" s="385"/>
      <c r="H46" s="385"/>
      <c r="I46" s="385"/>
      <c r="J46" s="385"/>
      <c r="K46" s="385"/>
      <c r="L46" s="385"/>
      <c r="M46" s="385"/>
      <c r="N46" s="385"/>
      <c r="O46" s="385"/>
      <c r="P46" s="385"/>
      <c r="Q46" s="385"/>
      <c r="R46" s="317"/>
    </row>
    <row r="47" spans="2:18" x14ac:dyDescent="0.25">
      <c r="B47" s="383"/>
      <c r="C47" s="330" t="s">
        <v>218</v>
      </c>
      <c r="D47" s="385"/>
      <c r="E47" s="385"/>
      <c r="F47" s="385"/>
      <c r="G47" s="385"/>
      <c r="H47" s="385"/>
      <c r="I47" s="385"/>
      <c r="J47" s="385"/>
      <c r="K47" s="385"/>
      <c r="L47" s="385"/>
      <c r="M47" s="385"/>
      <c r="N47" s="385"/>
      <c r="O47" s="385"/>
      <c r="P47" s="385"/>
      <c r="Q47" s="385"/>
      <c r="R47" s="317"/>
    </row>
    <row r="48" spans="2:18" x14ac:dyDescent="0.25">
      <c r="B48" s="383"/>
      <c r="C48" s="316" t="s">
        <v>219</v>
      </c>
      <c r="D48" s="385"/>
      <c r="E48" s="385"/>
      <c r="F48" s="385"/>
      <c r="G48" s="385"/>
      <c r="H48" s="385"/>
      <c r="I48" s="385"/>
      <c r="J48" s="385"/>
      <c r="K48" s="385"/>
      <c r="L48" s="385"/>
      <c r="M48" s="385"/>
      <c r="N48" s="385"/>
      <c r="O48" s="385"/>
      <c r="P48" s="385"/>
      <c r="Q48" s="385"/>
      <c r="R48" s="317"/>
    </row>
    <row r="49" spans="2:18" ht="15" customHeight="1" x14ac:dyDescent="0.25">
      <c r="B49" s="384">
        <v>41744</v>
      </c>
      <c r="C49" s="330" t="s">
        <v>192</v>
      </c>
      <c r="E49" s="386"/>
      <c r="F49" s="386"/>
      <c r="G49" s="386"/>
      <c r="H49" s="386"/>
      <c r="I49" s="386"/>
      <c r="J49" s="386"/>
      <c r="K49" s="386"/>
      <c r="L49" s="386"/>
      <c r="M49" s="386"/>
      <c r="N49" s="385"/>
      <c r="O49" s="385"/>
      <c r="P49" s="385"/>
      <c r="Q49" s="385"/>
      <c r="R49" s="317"/>
    </row>
    <row r="50" spans="2:18" ht="15" customHeight="1" x14ac:dyDescent="0.25">
      <c r="B50" s="384">
        <v>43434</v>
      </c>
      <c r="C50" s="330" t="s">
        <v>194</v>
      </c>
      <c r="E50" s="386"/>
      <c r="F50" s="386"/>
      <c r="G50" s="386"/>
      <c r="H50" s="386"/>
      <c r="I50" s="386"/>
      <c r="J50" s="386"/>
      <c r="K50" s="386"/>
      <c r="L50" s="386"/>
      <c r="M50" s="386"/>
      <c r="N50" s="385"/>
      <c r="O50" s="385"/>
      <c r="P50" s="385"/>
      <c r="Q50" s="385"/>
      <c r="R50" s="317"/>
    </row>
    <row r="51" spans="2:18" ht="15" customHeight="1" x14ac:dyDescent="0.25">
      <c r="B51" s="384">
        <v>43656</v>
      </c>
      <c r="C51" s="330" t="s">
        <v>290</v>
      </c>
      <c r="E51" s="386"/>
      <c r="F51" s="386"/>
      <c r="G51" s="386"/>
      <c r="H51" s="386"/>
      <c r="I51" s="386"/>
      <c r="J51" s="386"/>
      <c r="K51" s="386"/>
      <c r="L51" s="386"/>
      <c r="M51" s="386"/>
      <c r="N51" s="385"/>
      <c r="O51" s="385"/>
      <c r="P51" s="385"/>
      <c r="Q51" s="385"/>
      <c r="R51" s="317"/>
    </row>
    <row r="52" spans="2:18" ht="15" customHeight="1" x14ac:dyDescent="0.25">
      <c r="B52" s="384">
        <v>44229</v>
      </c>
      <c r="C52" s="330" t="s">
        <v>292</v>
      </c>
      <c r="E52" s="386"/>
      <c r="F52" s="386"/>
      <c r="G52" s="386"/>
      <c r="H52" s="386"/>
      <c r="I52" s="386"/>
      <c r="J52" s="386"/>
      <c r="K52" s="386"/>
      <c r="L52" s="386"/>
      <c r="M52" s="386"/>
      <c r="N52" s="385"/>
      <c r="O52" s="385"/>
      <c r="P52" s="385"/>
      <c r="Q52" s="385"/>
      <c r="R52" s="317"/>
    </row>
    <row r="53" spans="2:18" ht="15" customHeight="1" x14ac:dyDescent="0.25">
      <c r="B53" s="384"/>
      <c r="C53" t="s">
        <v>293</v>
      </c>
      <c r="E53" s="386"/>
      <c r="F53" s="386"/>
      <c r="G53" s="386"/>
      <c r="H53" s="386"/>
      <c r="I53" s="386"/>
      <c r="J53" s="386"/>
      <c r="K53" s="386"/>
      <c r="L53" s="386"/>
      <c r="M53" s="386"/>
      <c r="N53" s="385"/>
      <c r="O53" s="385"/>
      <c r="P53" s="385"/>
      <c r="Q53" s="385"/>
      <c r="R53" s="317"/>
    </row>
    <row r="54" spans="2:18" ht="15" customHeight="1" x14ac:dyDescent="0.25">
      <c r="B54" s="384">
        <v>44900</v>
      </c>
      <c r="C54" s="499" t="s">
        <v>308</v>
      </c>
      <c r="E54" s="386"/>
      <c r="F54" s="386"/>
      <c r="G54" s="386"/>
      <c r="H54" s="386"/>
      <c r="I54" s="386"/>
      <c r="J54" s="386"/>
      <c r="K54" s="386"/>
      <c r="L54" s="386"/>
      <c r="M54" s="386"/>
      <c r="N54" s="385"/>
      <c r="O54" s="385"/>
      <c r="P54" s="385"/>
      <c r="Q54" s="385"/>
      <c r="R54" s="317"/>
    </row>
    <row r="55" spans="2:18" ht="15" customHeight="1" thickBot="1" x14ac:dyDescent="0.3">
      <c r="B55" s="500">
        <v>44957</v>
      </c>
      <c r="C55" s="499" t="s">
        <v>306</v>
      </c>
      <c r="E55" s="386"/>
      <c r="F55" s="386"/>
      <c r="G55" s="386"/>
      <c r="H55" s="386"/>
      <c r="I55" s="386"/>
      <c r="J55" s="386"/>
      <c r="K55" s="386"/>
      <c r="L55" s="386"/>
      <c r="M55" s="386"/>
      <c r="N55" s="385"/>
      <c r="O55" s="385"/>
      <c r="P55" s="385"/>
      <c r="Q55" s="385"/>
      <c r="R55" s="317"/>
    </row>
    <row r="56" spans="2:18" ht="16" thickBot="1" x14ac:dyDescent="0.4">
      <c r="B56" s="489" t="s">
        <v>92</v>
      </c>
      <c r="C56" s="108"/>
      <c r="D56" s="108"/>
      <c r="E56" s="108"/>
      <c r="F56" s="108"/>
      <c r="G56" s="108"/>
      <c r="H56" s="108"/>
      <c r="I56" s="108"/>
      <c r="J56" s="110"/>
      <c r="K56" s="110"/>
      <c r="L56" s="110"/>
      <c r="M56" s="111"/>
      <c r="N56" s="111"/>
      <c r="O56" s="111"/>
      <c r="P56" s="111"/>
      <c r="Q56" s="111"/>
      <c r="R56" s="164"/>
    </row>
    <row r="57" spans="2:18" ht="13" x14ac:dyDescent="0.25">
      <c r="B57" s="357" t="s">
        <v>208</v>
      </c>
      <c r="C57" s="353"/>
      <c r="D57" s="353"/>
      <c r="E57" s="353"/>
      <c r="F57" s="353"/>
      <c r="G57" s="353"/>
      <c r="H57" s="353"/>
      <c r="I57" s="353"/>
      <c r="J57" s="353"/>
      <c r="K57" s="353"/>
      <c r="L57" s="353"/>
      <c r="M57" s="353"/>
      <c r="N57" s="353"/>
      <c r="O57" s="353"/>
      <c r="P57" s="353"/>
      <c r="Q57" s="353"/>
      <c r="R57" s="354"/>
    </row>
    <row r="58" spans="2:18" x14ac:dyDescent="0.25">
      <c r="B58" s="357" t="s">
        <v>209</v>
      </c>
      <c r="C58" s="353"/>
      <c r="D58" s="353"/>
      <c r="E58" s="353"/>
      <c r="F58" s="353"/>
      <c r="G58" s="353"/>
      <c r="H58" s="353"/>
      <c r="I58" s="353"/>
      <c r="J58" s="353"/>
      <c r="K58" s="353"/>
      <c r="L58" s="353"/>
      <c r="M58" s="353"/>
      <c r="N58" s="353"/>
      <c r="O58" s="353"/>
      <c r="P58" s="353"/>
      <c r="Q58" s="353"/>
      <c r="R58" s="354"/>
    </row>
    <row r="59" spans="2:18" x14ac:dyDescent="0.25">
      <c r="B59" s="357" t="s">
        <v>210</v>
      </c>
      <c r="C59" s="368"/>
      <c r="D59" s="368"/>
      <c r="E59" s="368"/>
      <c r="F59" s="368"/>
      <c r="G59" s="368"/>
      <c r="H59" s="368"/>
      <c r="I59" s="368"/>
      <c r="J59" s="368"/>
      <c r="K59" s="368"/>
      <c r="L59" s="368"/>
      <c r="M59" s="368"/>
      <c r="N59" s="368"/>
      <c r="O59" s="368"/>
      <c r="P59" s="368"/>
      <c r="Q59" s="368"/>
      <c r="R59" s="369"/>
    </row>
    <row r="60" spans="2:18" x14ac:dyDescent="0.25">
      <c r="B60" s="357" t="s">
        <v>211</v>
      </c>
      <c r="C60" s="368"/>
      <c r="D60" s="368"/>
      <c r="E60" s="368"/>
      <c r="F60" s="368"/>
      <c r="G60" s="368"/>
      <c r="H60" s="368"/>
      <c r="I60" s="368"/>
      <c r="J60" s="368"/>
      <c r="K60" s="368"/>
      <c r="L60" s="368"/>
      <c r="M60" s="368"/>
      <c r="N60" s="368"/>
      <c r="O60" s="368"/>
      <c r="P60" s="368"/>
      <c r="Q60" s="368"/>
      <c r="R60" s="369"/>
    </row>
    <row r="61" spans="2:18" ht="13" x14ac:dyDescent="0.25">
      <c r="B61" s="367" t="s">
        <v>93</v>
      </c>
      <c r="C61" s="370"/>
      <c r="D61" s="370"/>
      <c r="E61" s="370"/>
      <c r="F61" s="370"/>
      <c r="G61" s="370"/>
      <c r="H61" s="370"/>
      <c r="I61" s="370"/>
      <c r="J61" s="370"/>
      <c r="K61" s="370"/>
      <c r="L61" s="370"/>
      <c r="M61" s="370"/>
      <c r="N61" s="370"/>
      <c r="O61" s="370"/>
      <c r="P61" s="370"/>
      <c r="Q61" s="370"/>
      <c r="R61" s="371"/>
    </row>
    <row r="62" spans="2:18" ht="13.5" thickBot="1" x14ac:dyDescent="0.3">
      <c r="B62" s="372" t="s">
        <v>95</v>
      </c>
      <c r="C62" s="115"/>
      <c r="D62" s="115"/>
      <c r="E62" s="115"/>
      <c r="F62" s="115"/>
      <c r="G62" s="115"/>
      <c r="H62" s="115"/>
      <c r="I62" s="115"/>
      <c r="J62" s="115"/>
      <c r="K62" s="115"/>
      <c r="L62" s="115"/>
      <c r="M62" s="115"/>
      <c r="N62" s="115"/>
      <c r="O62" s="115"/>
      <c r="P62" s="115"/>
      <c r="Q62" s="115"/>
      <c r="R62" s="114"/>
    </row>
  </sheetData>
  <phoneticPr fontId="0" type="noConversion"/>
  <printOptions horizontalCentered="1"/>
  <pageMargins left="0.75" right="0.75" top="1" bottom="1" header="0.5" footer="0.5"/>
  <pageSetup scale="58" orientation="portrait" r:id="rId1"/>
  <headerFooter alignWithMargins="0">
    <oddFooter>&amp;LOffice of Water (MS140)&amp;C815-B-23-003&amp;RMarch 2023</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96B9E-FCE8-4AD4-9758-4FD212C06653}">
  <dimension ref="A1:T143"/>
  <sheetViews>
    <sheetView showGridLines="0" topLeftCell="A37" zoomScale="80" zoomScaleNormal="80" workbookViewId="0">
      <selection activeCell="I81" sqref="I81"/>
    </sheetView>
  </sheetViews>
  <sheetFormatPr defaultColWidth="9.1796875" defaultRowHeight="12.5" x14ac:dyDescent="0.25"/>
  <cols>
    <col min="1" max="2" width="1.54296875" style="1" customWidth="1"/>
    <col min="3" max="3" width="26" style="1" customWidth="1"/>
    <col min="4" max="4" width="17.81640625" style="1" customWidth="1"/>
    <col min="5" max="6" width="20.81640625" style="1" customWidth="1"/>
    <col min="7" max="7" width="17.81640625" style="1" customWidth="1"/>
    <col min="8" max="9" width="23.81640625" style="1" customWidth="1"/>
    <col min="10" max="10" width="16.453125" style="1" customWidth="1"/>
    <col min="11" max="11" width="12.81640625" style="1" customWidth="1"/>
    <col min="12" max="12" width="16.1796875" style="1" customWidth="1"/>
    <col min="13" max="13" width="9.1796875" style="1"/>
    <col min="14" max="14" width="9.81640625" style="1" customWidth="1"/>
    <col min="15" max="17" width="9.1796875" style="1"/>
    <col min="18" max="18" width="9.1796875" style="485" customWidth="1"/>
    <col min="19" max="16384" width="9.1796875" style="1"/>
  </cols>
  <sheetData>
    <row r="1" spans="2:20" ht="13" thickBot="1" x14ac:dyDescent="0.3"/>
    <row r="2" spans="2:20" ht="20.25" customHeight="1" thickBot="1" x14ac:dyDescent="0.3">
      <c r="B2" s="425" t="s">
        <v>97</v>
      </c>
      <c r="C2" s="426"/>
      <c r="D2" s="426"/>
      <c r="E2" s="426"/>
      <c r="F2" s="426"/>
      <c r="G2" s="426"/>
      <c r="H2" s="426"/>
      <c r="I2" s="426"/>
      <c r="J2" s="426"/>
      <c r="K2" s="426"/>
      <c r="L2" s="426"/>
      <c r="M2" s="426"/>
      <c r="N2" s="426"/>
      <c r="O2" s="427"/>
    </row>
    <row r="3" spans="2:20" ht="18.5" thickBot="1" x14ac:dyDescent="0.45">
      <c r="B3" s="116" t="s">
        <v>187</v>
      </c>
      <c r="C3" s="117"/>
      <c r="D3" s="118"/>
      <c r="E3" s="117"/>
      <c r="F3" s="118"/>
      <c r="G3" s="118"/>
      <c r="H3" s="118"/>
      <c r="I3" s="118"/>
      <c r="J3" s="118"/>
      <c r="K3" s="118"/>
      <c r="L3" s="118"/>
      <c r="M3" s="118"/>
      <c r="N3" s="118"/>
      <c r="O3" s="119"/>
    </row>
    <row r="4" spans="2:20" ht="16" customHeight="1" x14ac:dyDescent="0.3">
      <c r="B4" s="149"/>
      <c r="C4" s="329"/>
      <c r="D4" s="90"/>
      <c r="E4" s="90"/>
      <c r="F4" s="90"/>
      <c r="G4" s="90"/>
      <c r="H4" s="90"/>
      <c r="I4" s="90"/>
      <c r="J4" s="90"/>
      <c r="K4" s="90"/>
      <c r="L4" s="90"/>
      <c r="M4" s="90"/>
      <c r="N4" s="90"/>
      <c r="O4" s="91"/>
    </row>
    <row r="5" spans="2:20" ht="16" customHeight="1" x14ac:dyDescent="0.3">
      <c r="B5" s="92"/>
      <c r="C5" s="152" t="s">
        <v>7</v>
      </c>
      <c r="D5" s="153">
        <f>'Tank Summary'!R12</f>
        <v>0</v>
      </c>
      <c r="E5" s="93"/>
      <c r="F5" s="93"/>
      <c r="G5" s="8"/>
      <c r="H5" s="8"/>
      <c r="I5" s="8"/>
      <c r="J5" s="8"/>
      <c r="K5" s="8"/>
      <c r="L5" s="8"/>
      <c r="M5" s="8"/>
      <c r="N5" s="8"/>
      <c r="O5" s="94"/>
    </row>
    <row r="6" spans="2:20" ht="16" customHeight="1" x14ac:dyDescent="0.3">
      <c r="B6" s="92"/>
      <c r="C6" s="147" t="s">
        <v>96</v>
      </c>
      <c r="D6" s="154">
        <f>'Tank Summary'!R13</f>
        <v>0</v>
      </c>
      <c r="E6" s="93"/>
      <c r="F6" s="93"/>
      <c r="G6" s="8"/>
      <c r="H6" s="8"/>
      <c r="I6" s="8"/>
      <c r="J6" s="8"/>
      <c r="K6" s="8"/>
      <c r="L6" s="8"/>
      <c r="M6" s="8"/>
      <c r="N6" s="8"/>
      <c r="O6" s="94"/>
    </row>
    <row r="7" spans="2:20" ht="40.5" customHeight="1" x14ac:dyDescent="0.3">
      <c r="B7" s="92"/>
      <c r="C7" s="155" t="s">
        <v>64</v>
      </c>
      <c r="D7" s="88">
        <f>'Tank Summary'!R14</f>
        <v>0</v>
      </c>
      <c r="E7" s="150"/>
      <c r="F7" s="93"/>
      <c r="G7" s="151"/>
      <c r="H7" s="8"/>
      <c r="I7" s="8"/>
      <c r="J7" s="8"/>
      <c r="K7" s="8"/>
      <c r="L7" s="8"/>
      <c r="M7" s="8"/>
      <c r="N7" s="8"/>
      <c r="O7" s="94"/>
    </row>
    <row r="8" spans="2:20" ht="39.75" customHeight="1" x14ac:dyDescent="0.3">
      <c r="B8" s="92"/>
      <c r="C8" s="155" t="s">
        <v>66</v>
      </c>
      <c r="D8" s="156">
        <f>'Tank Summary'!R15</f>
        <v>0</v>
      </c>
      <c r="E8" s="150"/>
      <c r="F8" s="93"/>
      <c r="G8" s="151"/>
      <c r="H8" s="8"/>
      <c r="I8" s="8"/>
      <c r="J8" s="8"/>
      <c r="K8" s="8"/>
      <c r="L8" s="8"/>
      <c r="M8" s="8"/>
      <c r="N8" s="8"/>
      <c r="O8" s="94"/>
    </row>
    <row r="9" spans="2:20" ht="18" customHeight="1" x14ac:dyDescent="0.3">
      <c r="B9" s="92"/>
      <c r="C9" s="147" t="s">
        <v>304</v>
      </c>
      <c r="D9" s="157">
        <f>'Tank Summary'!R20</f>
        <v>0</v>
      </c>
      <c r="E9" s="93" t="str">
        <f>IF(OR(D7="c", D7="r",D7="h"),"ft","")</f>
        <v/>
      </c>
      <c r="F9" s="96"/>
      <c r="G9" s="8"/>
      <c r="H9" s="8"/>
      <c r="I9" s="8"/>
      <c r="J9" s="8"/>
      <c r="K9" s="8"/>
      <c r="L9" s="8"/>
      <c r="M9" s="8"/>
      <c r="N9" s="8"/>
      <c r="O9" s="94"/>
    </row>
    <row r="10" spans="2:20" ht="18" customHeight="1" x14ac:dyDescent="0.3">
      <c r="B10" s="92"/>
      <c r="C10" s="158" t="str">
        <f>IF(OR(D7="c", D7="h"), "Tank diameter, D:", IF(D7="r","Longest Sidewall Length, D:","Maximum diameter, D:"))</f>
        <v>Maximum diameter, D:</v>
      </c>
      <c r="D10" s="157">
        <f>'Tank Summary'!R17</f>
        <v>0</v>
      </c>
      <c r="E10" s="93" t="str">
        <f>IF(OR(D7="c", D7="r",D7="h"),"ft","")</f>
        <v/>
      </c>
      <c r="F10" s="93"/>
      <c r="G10" s="151"/>
      <c r="H10" s="8"/>
      <c r="I10" s="8"/>
      <c r="J10" s="8"/>
      <c r="K10" s="8"/>
      <c r="L10" s="8"/>
      <c r="M10" s="8"/>
      <c r="N10" s="8"/>
      <c r="O10" s="94"/>
    </row>
    <row r="11" spans="2:20" ht="18" customHeight="1" x14ac:dyDescent="0.3">
      <c r="B11" s="92"/>
      <c r="C11" s="158" t="str">
        <f>IF(OR(D7="c", D7="h"),"",IF(D7="r","Shortest Sidewall Length, L:",""))</f>
        <v/>
      </c>
      <c r="D11" s="157">
        <f>'Tank Summary'!R18</f>
        <v>0</v>
      </c>
      <c r="E11" s="501" t="str">
        <f>IF(OR(D7="c", D7="h"),"",IF(D7="r","ft",IF(D8="y","","Spreadsheet is not set up for shapes other than cylindrical, hydropillar, &amp; rectangular unless SCADA reports tank volume!")))</f>
        <v>Spreadsheet is not set up for shapes other than cylindrical, hydropillar, &amp; rectangular unless SCADA reports tank volume!</v>
      </c>
      <c r="F11" s="502"/>
      <c r="G11" s="151"/>
      <c r="H11" s="8"/>
      <c r="I11" s="8"/>
      <c r="J11" s="8"/>
      <c r="K11" s="8"/>
      <c r="L11" s="8"/>
      <c r="M11" s="8"/>
      <c r="N11" s="8"/>
      <c r="O11" s="94"/>
    </row>
    <row r="12" spans="2:20" ht="18" customHeight="1" x14ac:dyDescent="0.3">
      <c r="B12" s="92"/>
      <c r="C12" s="152" t="str">
        <f>IF(D8="y", "Volume Cutoff Ratio:", "H/D Ratio:")</f>
        <v>H/D Ratio:</v>
      </c>
      <c r="D12" s="88" t="e">
        <f>IF(D8="y", (PI()/4)*D10^3, 'Tank Summary'!R22)</f>
        <v>#DIV/0!</v>
      </c>
      <c r="E12" s="501"/>
      <c r="F12" s="502"/>
      <c r="G12" s="151"/>
      <c r="H12" s="8"/>
      <c r="I12" s="8"/>
      <c r="J12" s="8"/>
      <c r="K12" s="8"/>
      <c r="L12" s="8"/>
      <c r="M12" s="8"/>
      <c r="N12" s="8"/>
      <c r="O12" s="94"/>
    </row>
    <row r="13" spans="2:20" ht="18" customHeight="1" x14ac:dyDescent="0.3">
      <c r="B13" s="92"/>
      <c r="C13" s="152" t="s">
        <v>10</v>
      </c>
      <c r="D13" s="88">
        <f>'Tank Summary'!R19</f>
        <v>0</v>
      </c>
      <c r="E13" s="93" t="s">
        <v>1</v>
      </c>
      <c r="F13" s="93"/>
      <c r="G13" s="8"/>
      <c r="H13" s="8"/>
      <c r="I13" s="8"/>
      <c r="J13" s="8"/>
      <c r="K13" s="8"/>
      <c r="L13" s="8"/>
      <c r="M13" s="8"/>
      <c r="N13" s="8"/>
      <c r="O13" s="94"/>
    </row>
    <row r="14" spans="2:20" ht="16" customHeight="1" x14ac:dyDescent="0.25">
      <c r="B14" s="92"/>
      <c r="C14" s="29"/>
      <c r="D14" s="29"/>
      <c r="E14" s="29"/>
      <c r="F14" s="29"/>
      <c r="G14" s="29"/>
      <c r="H14" s="29"/>
      <c r="I14" s="29"/>
      <c r="J14" s="8"/>
      <c r="K14" s="8"/>
      <c r="L14" s="8"/>
      <c r="M14" s="8"/>
      <c r="N14" s="8"/>
      <c r="O14" s="94"/>
      <c r="Q14" s="481"/>
      <c r="R14" s="481"/>
      <c r="S14" s="481"/>
      <c r="T14" s="481"/>
    </row>
    <row r="15" spans="2:20" ht="16" customHeight="1" x14ac:dyDescent="0.3">
      <c r="B15" s="92"/>
      <c r="C15" s="95" t="s">
        <v>206</v>
      </c>
      <c r="D15" s="53"/>
      <c r="E15" s="53"/>
      <c r="F15" s="53"/>
      <c r="G15" s="96"/>
      <c r="H15" s="338"/>
      <c r="I15" s="53"/>
      <c r="J15" s="8"/>
      <c r="K15" s="8"/>
      <c r="L15" s="97"/>
      <c r="M15" s="8"/>
      <c r="N15" s="8"/>
      <c r="O15" s="94"/>
      <c r="Q15" s="481"/>
      <c r="R15" s="481"/>
      <c r="S15" s="481"/>
      <c r="T15" s="481"/>
    </row>
    <row r="16" spans="2:20" ht="13" x14ac:dyDescent="0.3">
      <c r="B16" s="92"/>
      <c r="C16" s="13" t="s">
        <v>19</v>
      </c>
      <c r="D16" s="13" t="s">
        <v>20</v>
      </c>
      <c r="E16" s="13" t="str">
        <f>IF(D8="y","Vol at Start of Fill","Min Level")</f>
        <v>Min Level</v>
      </c>
      <c r="F16" s="13" t="str">
        <f>IF(D8="y","Vol at End of Fill","Max Level")</f>
        <v>Max Level</v>
      </c>
      <c r="G16" s="13" t="s">
        <v>21</v>
      </c>
      <c r="H16" s="13" t="s">
        <v>22</v>
      </c>
      <c r="I16" s="8"/>
      <c r="K16" s="8"/>
      <c r="L16" s="8"/>
      <c r="M16" s="8"/>
      <c r="N16" s="8"/>
      <c r="O16" s="94"/>
      <c r="Q16" s="481"/>
      <c r="R16" s="482" t="s">
        <v>285</v>
      </c>
      <c r="S16" s="481"/>
      <c r="T16" s="481"/>
    </row>
    <row r="17" spans="2:20" ht="13" x14ac:dyDescent="0.3">
      <c r="B17" s="92"/>
      <c r="C17" s="14"/>
      <c r="D17" s="14"/>
      <c r="E17" s="14" t="str">
        <f>IF(D8="y","Gal","Ft")</f>
        <v>Ft</v>
      </c>
      <c r="F17" s="14" t="str">
        <f>IF(D8="y","Gal","Ft")</f>
        <v>Ft</v>
      </c>
      <c r="G17" s="14"/>
      <c r="H17" s="14" t="s">
        <v>23</v>
      </c>
      <c r="I17" s="8"/>
      <c r="K17" s="8"/>
      <c r="L17" s="8"/>
      <c r="M17" s="8"/>
      <c r="N17" s="8"/>
      <c r="O17" s="94"/>
      <c r="Q17" s="481"/>
      <c r="R17" s="482" t="str">
        <f>IF(D8="y","Gal","Ft")</f>
        <v>Ft</v>
      </c>
      <c r="S17" s="481"/>
      <c r="T17" s="481"/>
    </row>
    <row r="18" spans="2:20" ht="13" x14ac:dyDescent="0.3">
      <c r="B18" s="92"/>
      <c r="C18" s="339"/>
      <c r="D18" s="340"/>
      <c r="E18" s="341"/>
      <c r="F18" s="341"/>
      <c r="G18" s="89">
        <f t="shared" ref="G18:G47" si="0">C18+D18</f>
        <v>0</v>
      </c>
      <c r="H18" s="12">
        <v>0</v>
      </c>
      <c r="I18" s="8">
        <v>1</v>
      </c>
      <c r="K18" s="8"/>
      <c r="L18" s="8"/>
      <c r="M18" s="8"/>
      <c r="N18" s="8"/>
      <c r="O18" s="94"/>
      <c r="Q18" s="481"/>
      <c r="R18" s="483" t="str">
        <f t="shared" ref="R18:R47" si="1">IF(G18,E18+F18,"")</f>
        <v/>
      </c>
      <c r="S18" s="481"/>
      <c r="T18" s="481"/>
    </row>
    <row r="19" spans="2:20" ht="13" x14ac:dyDescent="0.3">
      <c r="B19" s="92"/>
      <c r="C19" s="339"/>
      <c r="D19" s="340"/>
      <c r="E19" s="341"/>
      <c r="F19" s="341"/>
      <c r="G19" s="89">
        <f t="shared" si="0"/>
        <v>0</v>
      </c>
      <c r="H19" s="12" t="str">
        <f t="shared" ref="H19:H47" si="2">IF(G19,G19-$G$18,"")</f>
        <v/>
      </c>
      <c r="I19" s="8"/>
      <c r="K19" s="8"/>
      <c r="L19" s="8"/>
      <c r="M19" s="8"/>
      <c r="N19" s="8"/>
      <c r="O19" s="94"/>
      <c r="Q19" s="481"/>
      <c r="R19" s="483" t="str">
        <f t="shared" si="1"/>
        <v/>
      </c>
      <c r="S19" s="481"/>
      <c r="T19" s="481"/>
    </row>
    <row r="20" spans="2:20" ht="13" x14ac:dyDescent="0.3">
      <c r="B20" s="92"/>
      <c r="C20" s="347"/>
      <c r="D20" s="348"/>
      <c r="E20" s="349"/>
      <c r="F20" s="349"/>
      <c r="G20" s="350">
        <f t="shared" si="0"/>
        <v>0</v>
      </c>
      <c r="H20" s="351" t="str">
        <f t="shared" si="2"/>
        <v/>
      </c>
      <c r="I20" s="8">
        <v>2</v>
      </c>
      <c r="K20" s="8"/>
      <c r="L20" s="8"/>
      <c r="M20" s="8"/>
      <c r="N20" s="8"/>
      <c r="O20" s="94"/>
      <c r="Q20" s="481"/>
      <c r="R20" s="483" t="str">
        <f t="shared" si="1"/>
        <v/>
      </c>
      <c r="S20" s="481"/>
      <c r="T20" s="481"/>
    </row>
    <row r="21" spans="2:20" ht="13" x14ac:dyDescent="0.3">
      <c r="B21" s="92"/>
      <c r="C21" s="347"/>
      <c r="D21" s="348"/>
      <c r="E21" s="349"/>
      <c r="F21" s="349"/>
      <c r="G21" s="350">
        <f t="shared" si="0"/>
        <v>0</v>
      </c>
      <c r="H21" s="351" t="str">
        <f t="shared" si="2"/>
        <v/>
      </c>
      <c r="I21" s="8"/>
      <c r="K21" s="8"/>
      <c r="L21" s="8"/>
      <c r="M21" s="8"/>
      <c r="N21" s="8"/>
      <c r="O21" s="94"/>
      <c r="Q21" s="481"/>
      <c r="R21" s="483" t="str">
        <f t="shared" si="1"/>
        <v/>
      </c>
      <c r="S21" s="481"/>
      <c r="T21" s="481"/>
    </row>
    <row r="22" spans="2:20" ht="13" x14ac:dyDescent="0.3">
      <c r="B22" s="92"/>
      <c r="C22" s="339"/>
      <c r="D22" s="340"/>
      <c r="E22" s="341"/>
      <c r="F22" s="341"/>
      <c r="G22" s="89">
        <f t="shared" si="0"/>
        <v>0</v>
      </c>
      <c r="H22" s="12" t="str">
        <f t="shared" si="2"/>
        <v/>
      </c>
      <c r="I22" s="8">
        <v>3</v>
      </c>
      <c r="K22" s="8"/>
      <c r="L22" s="8"/>
      <c r="M22" s="8"/>
      <c r="N22" s="8"/>
      <c r="O22" s="94"/>
      <c r="Q22" s="481"/>
      <c r="R22" s="483" t="str">
        <f t="shared" si="1"/>
        <v/>
      </c>
      <c r="S22" s="481"/>
      <c r="T22" s="481"/>
    </row>
    <row r="23" spans="2:20" ht="13" x14ac:dyDescent="0.3">
      <c r="B23" s="92"/>
      <c r="C23" s="339"/>
      <c r="D23" s="340"/>
      <c r="E23" s="341"/>
      <c r="F23" s="341"/>
      <c r="G23" s="89">
        <f t="shared" si="0"/>
        <v>0</v>
      </c>
      <c r="H23" s="12" t="str">
        <f t="shared" si="2"/>
        <v/>
      </c>
      <c r="I23" s="8"/>
      <c r="K23" s="8"/>
      <c r="L23" s="8"/>
      <c r="M23" s="8"/>
      <c r="N23" s="8"/>
      <c r="O23" s="94"/>
      <c r="Q23" s="481"/>
      <c r="R23" s="483" t="str">
        <f t="shared" si="1"/>
        <v/>
      </c>
      <c r="S23" s="481"/>
      <c r="T23" s="481"/>
    </row>
    <row r="24" spans="2:20" ht="13" x14ac:dyDescent="0.3">
      <c r="B24" s="92"/>
      <c r="C24" s="347"/>
      <c r="D24" s="348"/>
      <c r="E24" s="349"/>
      <c r="F24" s="349"/>
      <c r="G24" s="350">
        <f t="shared" si="0"/>
        <v>0</v>
      </c>
      <c r="H24" s="351" t="str">
        <f t="shared" si="2"/>
        <v/>
      </c>
      <c r="I24" s="8">
        <v>4</v>
      </c>
      <c r="K24" s="8"/>
      <c r="L24" s="8"/>
      <c r="M24" s="8"/>
      <c r="N24" s="8"/>
      <c r="O24" s="94"/>
      <c r="Q24" s="481"/>
      <c r="R24" s="483" t="str">
        <f t="shared" si="1"/>
        <v/>
      </c>
      <c r="S24" s="481"/>
      <c r="T24" s="481"/>
    </row>
    <row r="25" spans="2:20" ht="13" x14ac:dyDescent="0.3">
      <c r="B25" s="92"/>
      <c r="C25" s="347"/>
      <c r="D25" s="348"/>
      <c r="E25" s="349"/>
      <c r="F25" s="349"/>
      <c r="G25" s="350">
        <f t="shared" si="0"/>
        <v>0</v>
      </c>
      <c r="H25" s="351" t="str">
        <f t="shared" si="2"/>
        <v/>
      </c>
      <c r="I25" s="8"/>
      <c r="K25" s="8"/>
      <c r="L25" s="8"/>
      <c r="M25" s="8"/>
      <c r="N25" s="8"/>
      <c r="O25" s="94"/>
      <c r="Q25" s="481"/>
      <c r="R25" s="483" t="str">
        <f t="shared" si="1"/>
        <v/>
      </c>
      <c r="S25" s="481"/>
      <c r="T25" s="481"/>
    </row>
    <row r="26" spans="2:20" ht="13" x14ac:dyDescent="0.3">
      <c r="B26" s="92"/>
      <c r="C26" s="342"/>
      <c r="D26" s="340"/>
      <c r="E26" s="341"/>
      <c r="F26" s="341"/>
      <c r="G26" s="89">
        <f t="shared" si="0"/>
        <v>0</v>
      </c>
      <c r="H26" s="12" t="str">
        <f t="shared" si="2"/>
        <v/>
      </c>
      <c r="I26" s="8">
        <v>5</v>
      </c>
      <c r="K26" s="8"/>
      <c r="L26" s="8"/>
      <c r="M26" s="8"/>
      <c r="N26" s="8"/>
      <c r="O26" s="94"/>
      <c r="Q26" s="481"/>
      <c r="R26" s="483" t="str">
        <f t="shared" si="1"/>
        <v/>
      </c>
      <c r="S26" s="481"/>
      <c r="T26" s="481"/>
    </row>
    <row r="27" spans="2:20" ht="13" x14ac:dyDescent="0.3">
      <c r="B27" s="92"/>
      <c r="C27" s="342"/>
      <c r="D27" s="340"/>
      <c r="E27" s="341"/>
      <c r="F27" s="341"/>
      <c r="G27" s="89">
        <f t="shared" si="0"/>
        <v>0</v>
      </c>
      <c r="H27" s="12" t="str">
        <f t="shared" si="2"/>
        <v/>
      </c>
      <c r="I27" s="8"/>
      <c r="K27" s="8"/>
      <c r="L27" s="8"/>
      <c r="M27" s="8"/>
      <c r="N27" s="8"/>
      <c r="O27" s="94"/>
      <c r="Q27" s="481"/>
      <c r="R27" s="483" t="str">
        <f t="shared" si="1"/>
        <v/>
      </c>
      <c r="S27" s="481"/>
      <c r="T27" s="481"/>
    </row>
    <row r="28" spans="2:20" ht="13" x14ac:dyDescent="0.3">
      <c r="B28" s="92"/>
      <c r="C28" s="347"/>
      <c r="D28" s="348"/>
      <c r="E28" s="349"/>
      <c r="F28" s="349"/>
      <c r="G28" s="350">
        <f t="shared" si="0"/>
        <v>0</v>
      </c>
      <c r="H28" s="351" t="str">
        <f t="shared" si="2"/>
        <v/>
      </c>
      <c r="I28" s="8">
        <v>6</v>
      </c>
      <c r="K28" s="8"/>
      <c r="L28" s="8"/>
      <c r="M28" s="8"/>
      <c r="N28" s="8"/>
      <c r="O28" s="94"/>
      <c r="Q28" s="481"/>
      <c r="R28" s="483" t="str">
        <f t="shared" si="1"/>
        <v/>
      </c>
      <c r="S28" s="481"/>
      <c r="T28" s="481"/>
    </row>
    <row r="29" spans="2:20" ht="13" x14ac:dyDescent="0.3">
      <c r="B29" s="92"/>
      <c r="C29" s="347"/>
      <c r="D29" s="348"/>
      <c r="E29" s="349"/>
      <c r="F29" s="349"/>
      <c r="G29" s="350">
        <f t="shared" si="0"/>
        <v>0</v>
      </c>
      <c r="H29" s="351" t="str">
        <f t="shared" si="2"/>
        <v/>
      </c>
      <c r="I29" s="8"/>
      <c r="K29" s="8"/>
      <c r="L29" s="8"/>
      <c r="M29" s="8"/>
      <c r="N29" s="8"/>
      <c r="O29" s="94"/>
      <c r="Q29" s="481"/>
      <c r="R29" s="483" t="str">
        <f t="shared" si="1"/>
        <v/>
      </c>
      <c r="S29" s="481"/>
      <c r="T29" s="481"/>
    </row>
    <row r="30" spans="2:20" ht="13" x14ac:dyDescent="0.3">
      <c r="B30" s="92"/>
      <c r="C30" s="342"/>
      <c r="D30" s="340"/>
      <c r="E30" s="341"/>
      <c r="F30" s="343"/>
      <c r="G30" s="89">
        <f t="shared" si="0"/>
        <v>0</v>
      </c>
      <c r="H30" s="12" t="str">
        <f t="shared" si="2"/>
        <v/>
      </c>
      <c r="I30" s="8">
        <v>7</v>
      </c>
      <c r="K30" s="8"/>
      <c r="L30" s="8"/>
      <c r="M30" s="8"/>
      <c r="N30" s="8"/>
      <c r="O30" s="94"/>
      <c r="Q30" s="481"/>
      <c r="R30" s="483" t="str">
        <f t="shared" si="1"/>
        <v/>
      </c>
      <c r="S30" s="481"/>
      <c r="T30" s="481"/>
    </row>
    <row r="31" spans="2:20" ht="13" x14ac:dyDescent="0.3">
      <c r="B31" s="92"/>
      <c r="C31" s="342"/>
      <c r="D31" s="340"/>
      <c r="E31" s="341"/>
      <c r="F31" s="341"/>
      <c r="G31" s="89">
        <f t="shared" si="0"/>
        <v>0</v>
      </c>
      <c r="H31" s="12" t="str">
        <f t="shared" si="2"/>
        <v/>
      </c>
      <c r="I31" s="8"/>
      <c r="K31" s="8"/>
      <c r="L31" s="8"/>
      <c r="M31" s="8"/>
      <c r="N31" s="8"/>
      <c r="O31" s="94"/>
      <c r="Q31" s="481"/>
      <c r="R31" s="483" t="str">
        <f t="shared" si="1"/>
        <v/>
      </c>
      <c r="S31" s="481"/>
      <c r="T31" s="481"/>
    </row>
    <row r="32" spans="2:20" ht="13" x14ac:dyDescent="0.3">
      <c r="B32" s="92"/>
      <c r="C32" s="347"/>
      <c r="D32" s="348"/>
      <c r="E32" s="349"/>
      <c r="F32" s="349"/>
      <c r="G32" s="350">
        <f t="shared" si="0"/>
        <v>0</v>
      </c>
      <c r="H32" s="351" t="str">
        <f t="shared" si="2"/>
        <v/>
      </c>
      <c r="I32" s="8">
        <v>8</v>
      </c>
      <c r="K32" s="8"/>
      <c r="L32" s="8"/>
      <c r="M32" s="8"/>
      <c r="N32" s="8"/>
      <c r="O32" s="94"/>
      <c r="Q32" s="481"/>
      <c r="R32" s="483" t="str">
        <f t="shared" si="1"/>
        <v/>
      </c>
      <c r="S32" s="481"/>
      <c r="T32" s="481"/>
    </row>
    <row r="33" spans="2:20" ht="13" x14ac:dyDescent="0.3">
      <c r="B33" s="92"/>
      <c r="C33" s="347"/>
      <c r="D33" s="348"/>
      <c r="E33" s="349"/>
      <c r="F33" s="349"/>
      <c r="G33" s="350">
        <f t="shared" si="0"/>
        <v>0</v>
      </c>
      <c r="H33" s="351" t="str">
        <f t="shared" si="2"/>
        <v/>
      </c>
      <c r="I33" s="8"/>
      <c r="K33" s="8"/>
      <c r="L33" s="8"/>
      <c r="M33" s="8"/>
      <c r="N33" s="8"/>
      <c r="O33" s="94"/>
      <c r="Q33" s="481"/>
      <c r="R33" s="483" t="str">
        <f t="shared" si="1"/>
        <v/>
      </c>
      <c r="S33" s="481"/>
      <c r="T33" s="481"/>
    </row>
    <row r="34" spans="2:20" ht="13" x14ac:dyDescent="0.3">
      <c r="B34" s="92"/>
      <c r="C34" s="342"/>
      <c r="D34" s="340"/>
      <c r="E34" s="341"/>
      <c r="F34" s="341"/>
      <c r="G34" s="89">
        <f t="shared" si="0"/>
        <v>0</v>
      </c>
      <c r="H34" s="12" t="str">
        <f t="shared" si="2"/>
        <v/>
      </c>
      <c r="I34" s="8">
        <v>9</v>
      </c>
      <c r="K34" s="8"/>
      <c r="L34" s="8"/>
      <c r="M34" s="8"/>
      <c r="N34" s="8"/>
      <c r="O34" s="94"/>
      <c r="Q34" s="481"/>
      <c r="R34" s="483" t="str">
        <f t="shared" si="1"/>
        <v/>
      </c>
      <c r="S34" s="481"/>
      <c r="T34" s="481"/>
    </row>
    <row r="35" spans="2:20" ht="13" x14ac:dyDescent="0.3">
      <c r="B35" s="92"/>
      <c r="C35" s="342"/>
      <c r="D35" s="340"/>
      <c r="E35" s="341"/>
      <c r="F35" s="341"/>
      <c r="G35" s="89">
        <f t="shared" si="0"/>
        <v>0</v>
      </c>
      <c r="H35" s="12" t="str">
        <f t="shared" si="2"/>
        <v/>
      </c>
      <c r="I35" s="8"/>
      <c r="K35" s="8"/>
      <c r="L35" s="8"/>
      <c r="M35" s="8"/>
      <c r="N35" s="8"/>
      <c r="O35" s="94"/>
      <c r="Q35" s="481"/>
      <c r="R35" s="483" t="str">
        <f t="shared" si="1"/>
        <v/>
      </c>
      <c r="S35" s="481"/>
      <c r="T35" s="481"/>
    </row>
    <row r="36" spans="2:20" ht="13" x14ac:dyDescent="0.3">
      <c r="B36" s="92"/>
      <c r="C36" s="347"/>
      <c r="D36" s="348"/>
      <c r="E36" s="349"/>
      <c r="F36" s="349"/>
      <c r="G36" s="350">
        <f t="shared" si="0"/>
        <v>0</v>
      </c>
      <c r="H36" s="351" t="str">
        <f t="shared" si="2"/>
        <v/>
      </c>
      <c r="I36" s="8">
        <v>10</v>
      </c>
      <c r="K36" s="8"/>
      <c r="L36" s="8"/>
      <c r="M36" s="8"/>
      <c r="N36" s="8"/>
      <c r="O36" s="94"/>
      <c r="Q36" s="481"/>
      <c r="R36" s="483" t="str">
        <f t="shared" si="1"/>
        <v/>
      </c>
      <c r="S36" s="481"/>
      <c r="T36" s="481"/>
    </row>
    <row r="37" spans="2:20" ht="13" x14ac:dyDescent="0.3">
      <c r="B37" s="92"/>
      <c r="C37" s="347"/>
      <c r="D37" s="348"/>
      <c r="E37" s="349"/>
      <c r="F37" s="349"/>
      <c r="G37" s="350">
        <f t="shared" si="0"/>
        <v>0</v>
      </c>
      <c r="H37" s="351" t="str">
        <f t="shared" si="2"/>
        <v/>
      </c>
      <c r="I37" s="8"/>
      <c r="K37" s="8"/>
      <c r="L37" s="8"/>
      <c r="M37" s="8"/>
      <c r="N37" s="8"/>
      <c r="O37" s="94"/>
      <c r="Q37" s="481"/>
      <c r="R37" s="483" t="str">
        <f t="shared" si="1"/>
        <v/>
      </c>
      <c r="S37" s="481"/>
      <c r="T37" s="481"/>
    </row>
    <row r="38" spans="2:20" ht="13" x14ac:dyDescent="0.3">
      <c r="B38" s="92"/>
      <c r="C38" s="342"/>
      <c r="D38" s="340"/>
      <c r="E38" s="341"/>
      <c r="F38" s="341"/>
      <c r="G38" s="89">
        <f t="shared" si="0"/>
        <v>0</v>
      </c>
      <c r="H38" s="12" t="str">
        <f t="shared" si="2"/>
        <v/>
      </c>
      <c r="I38" s="8">
        <v>11</v>
      </c>
      <c r="K38" s="424"/>
      <c r="L38" s="8"/>
      <c r="M38" s="8"/>
      <c r="N38" s="8"/>
      <c r="O38" s="94"/>
      <c r="Q38" s="481"/>
      <c r="R38" s="483" t="str">
        <f t="shared" si="1"/>
        <v/>
      </c>
      <c r="S38" s="481"/>
      <c r="T38" s="481"/>
    </row>
    <row r="39" spans="2:20" ht="13" x14ac:dyDescent="0.3">
      <c r="B39" s="92"/>
      <c r="C39" s="342"/>
      <c r="D39" s="340"/>
      <c r="E39" s="341"/>
      <c r="F39" s="341"/>
      <c r="G39" s="89">
        <f t="shared" si="0"/>
        <v>0</v>
      </c>
      <c r="H39" s="12" t="str">
        <f t="shared" si="2"/>
        <v/>
      </c>
      <c r="I39" s="8"/>
      <c r="K39" s="486"/>
      <c r="L39" s="8"/>
      <c r="M39" s="8"/>
      <c r="N39" s="8"/>
      <c r="O39" s="94"/>
      <c r="Q39" s="481"/>
      <c r="R39" s="483" t="str">
        <f t="shared" si="1"/>
        <v/>
      </c>
      <c r="S39" s="481"/>
      <c r="T39" s="481"/>
    </row>
    <row r="40" spans="2:20" ht="13" x14ac:dyDescent="0.3">
      <c r="B40" s="92"/>
      <c r="C40" s="347"/>
      <c r="D40" s="348"/>
      <c r="E40" s="349"/>
      <c r="F40" s="349"/>
      <c r="G40" s="350">
        <f t="shared" si="0"/>
        <v>0</v>
      </c>
      <c r="H40" s="351" t="str">
        <f t="shared" si="2"/>
        <v/>
      </c>
      <c r="I40" s="8">
        <v>12</v>
      </c>
      <c r="K40" s="486"/>
      <c r="L40" s="8"/>
      <c r="M40" s="8"/>
      <c r="N40" s="8"/>
      <c r="O40" s="94"/>
      <c r="Q40" s="481"/>
      <c r="R40" s="483" t="str">
        <f t="shared" si="1"/>
        <v/>
      </c>
      <c r="S40" s="481"/>
      <c r="T40" s="481"/>
    </row>
    <row r="41" spans="2:20" ht="13" x14ac:dyDescent="0.3">
      <c r="B41" s="92"/>
      <c r="C41" s="347"/>
      <c r="D41" s="348"/>
      <c r="E41" s="349"/>
      <c r="F41" s="349"/>
      <c r="G41" s="350">
        <f t="shared" si="0"/>
        <v>0</v>
      </c>
      <c r="H41" s="351" t="str">
        <f t="shared" si="2"/>
        <v/>
      </c>
      <c r="I41" s="8"/>
      <c r="K41" s="424"/>
      <c r="L41" s="8"/>
      <c r="M41" s="8"/>
      <c r="N41" s="8"/>
      <c r="O41" s="94"/>
      <c r="Q41" s="481"/>
      <c r="R41" s="483" t="str">
        <f t="shared" si="1"/>
        <v/>
      </c>
      <c r="S41" s="481"/>
      <c r="T41" s="481"/>
    </row>
    <row r="42" spans="2:20" ht="13" x14ac:dyDescent="0.3">
      <c r="B42" s="92"/>
      <c r="C42" s="342"/>
      <c r="D42" s="340"/>
      <c r="E42" s="341"/>
      <c r="F42" s="341"/>
      <c r="G42" s="89">
        <f t="shared" si="0"/>
        <v>0</v>
      </c>
      <c r="H42" s="12" t="str">
        <f t="shared" si="2"/>
        <v/>
      </c>
      <c r="I42" s="8">
        <v>13</v>
      </c>
      <c r="K42" s="8"/>
      <c r="L42" s="8"/>
      <c r="M42" s="8"/>
      <c r="N42" s="8"/>
      <c r="O42" s="94"/>
      <c r="Q42" s="481"/>
      <c r="R42" s="483" t="str">
        <f t="shared" si="1"/>
        <v/>
      </c>
      <c r="S42" s="481"/>
      <c r="T42" s="481"/>
    </row>
    <row r="43" spans="2:20" ht="13" x14ac:dyDescent="0.3">
      <c r="B43" s="92"/>
      <c r="C43" s="342"/>
      <c r="D43" s="340"/>
      <c r="E43" s="341"/>
      <c r="F43" s="341"/>
      <c r="G43" s="89">
        <f t="shared" si="0"/>
        <v>0</v>
      </c>
      <c r="H43" s="12" t="str">
        <f t="shared" si="2"/>
        <v/>
      </c>
      <c r="I43" s="8"/>
      <c r="K43" s="8"/>
      <c r="L43" s="8"/>
      <c r="M43" s="8"/>
      <c r="N43" s="8"/>
      <c r="O43" s="94"/>
      <c r="Q43" s="481"/>
      <c r="R43" s="483" t="str">
        <f t="shared" si="1"/>
        <v/>
      </c>
      <c r="S43" s="481"/>
      <c r="T43" s="481"/>
    </row>
    <row r="44" spans="2:20" ht="13" x14ac:dyDescent="0.3">
      <c r="B44" s="92"/>
      <c r="C44" s="347"/>
      <c r="D44" s="348"/>
      <c r="E44" s="349"/>
      <c r="F44" s="349"/>
      <c r="G44" s="350">
        <f t="shared" si="0"/>
        <v>0</v>
      </c>
      <c r="H44" s="351" t="str">
        <f t="shared" si="2"/>
        <v/>
      </c>
      <c r="I44" s="8">
        <v>14</v>
      </c>
      <c r="K44" s="8"/>
      <c r="L44" s="8"/>
      <c r="M44" s="8"/>
      <c r="N44" s="8"/>
      <c r="O44" s="94"/>
      <c r="Q44" s="481"/>
      <c r="R44" s="483" t="str">
        <f t="shared" si="1"/>
        <v/>
      </c>
      <c r="S44" s="481"/>
      <c r="T44" s="481"/>
    </row>
    <row r="45" spans="2:20" ht="13" x14ac:dyDescent="0.3">
      <c r="B45" s="92"/>
      <c r="C45" s="347"/>
      <c r="D45" s="348"/>
      <c r="E45" s="349"/>
      <c r="F45" s="349"/>
      <c r="G45" s="350">
        <f t="shared" si="0"/>
        <v>0</v>
      </c>
      <c r="H45" s="351" t="str">
        <f t="shared" si="2"/>
        <v/>
      </c>
      <c r="I45" s="8"/>
      <c r="L45" s="8"/>
      <c r="M45" s="8"/>
      <c r="N45" s="8"/>
      <c r="O45" s="94"/>
      <c r="Q45" s="481"/>
      <c r="R45" s="483" t="str">
        <f t="shared" si="1"/>
        <v/>
      </c>
      <c r="S45" s="481"/>
      <c r="T45" s="481"/>
    </row>
    <row r="46" spans="2:20" ht="13" x14ac:dyDescent="0.3">
      <c r="B46" s="92"/>
      <c r="C46" s="342"/>
      <c r="D46" s="340"/>
      <c r="E46" s="341"/>
      <c r="F46" s="341"/>
      <c r="G46" s="89">
        <f t="shared" si="0"/>
        <v>0</v>
      </c>
      <c r="H46" s="12" t="str">
        <f t="shared" si="2"/>
        <v/>
      </c>
      <c r="I46" s="8">
        <v>15</v>
      </c>
      <c r="L46" s="8"/>
      <c r="M46" s="8"/>
      <c r="N46" s="8"/>
      <c r="O46" s="94"/>
      <c r="Q46" s="481"/>
      <c r="R46" s="483" t="str">
        <f t="shared" si="1"/>
        <v/>
      </c>
      <c r="S46" s="481"/>
      <c r="T46" s="481"/>
    </row>
    <row r="47" spans="2:20" ht="13" x14ac:dyDescent="0.3">
      <c r="B47" s="92"/>
      <c r="C47" s="342"/>
      <c r="D47" s="340"/>
      <c r="E47" s="341"/>
      <c r="F47" s="341"/>
      <c r="G47" s="89">
        <f t="shared" si="0"/>
        <v>0</v>
      </c>
      <c r="H47" s="12" t="str">
        <f t="shared" si="2"/>
        <v/>
      </c>
      <c r="I47" s="8"/>
      <c r="L47" s="8"/>
      <c r="M47" s="8"/>
      <c r="N47" s="8"/>
      <c r="O47" s="94"/>
      <c r="Q47" s="481"/>
      <c r="R47" s="483" t="str">
        <f t="shared" si="1"/>
        <v/>
      </c>
      <c r="S47" s="481"/>
      <c r="T47" s="481"/>
    </row>
    <row r="48" spans="2:20" ht="13" x14ac:dyDescent="0.3">
      <c r="B48" s="92"/>
      <c r="C48" s="8"/>
      <c r="D48" s="8"/>
      <c r="E48" s="430" t="str">
        <f>IF(COUNT(E16:E47)=COUNT(F16:F47),"", "Please enter complete fill periods (i.e., equal number of min and max levels)!")</f>
        <v/>
      </c>
      <c r="F48" s="428"/>
      <c r="G48" s="8"/>
      <c r="H48" s="8"/>
      <c r="I48" s="8"/>
      <c r="J48" s="8"/>
      <c r="L48" s="8"/>
      <c r="M48" s="8"/>
      <c r="N48" s="8"/>
      <c r="O48" s="94"/>
      <c r="Q48" s="481"/>
      <c r="R48" s="481"/>
      <c r="S48" s="481"/>
      <c r="T48" s="481"/>
    </row>
    <row r="49" spans="2:20" ht="27" customHeight="1" thickBot="1" x14ac:dyDescent="0.35">
      <c r="B49" s="92"/>
      <c r="C49" s="8"/>
      <c r="D49" s="8"/>
      <c r="E49" s="429"/>
      <c r="F49" s="429"/>
      <c r="G49" s="8"/>
      <c r="H49" s="8"/>
      <c r="I49" s="8"/>
      <c r="J49" s="8"/>
      <c r="L49" s="8"/>
      <c r="M49" s="8"/>
      <c r="N49" s="8"/>
      <c r="O49" s="94"/>
      <c r="Q49" s="481"/>
      <c r="R49" s="481"/>
      <c r="S49" s="481"/>
      <c r="T49" s="481"/>
    </row>
    <row r="50" spans="2:20" x14ac:dyDescent="0.25">
      <c r="B50" s="92"/>
      <c r="C50" s="17" t="s">
        <v>0</v>
      </c>
      <c r="D50" s="18" t="str">
        <f>IF(D8="y","Vol at Start of Fill","Low/Min Level")</f>
        <v>Low/Min Level</v>
      </c>
      <c r="E50" s="18" t="str">
        <f>IF(D8="y","Vol at End of Fill","High/Max Level")</f>
        <v>High/Max Level</v>
      </c>
      <c r="F50" s="18" t="s">
        <v>13</v>
      </c>
      <c r="G50" s="67" t="s">
        <v>16</v>
      </c>
      <c r="H50" s="18" t="s">
        <v>41</v>
      </c>
      <c r="I50" s="70" t="s">
        <v>6</v>
      </c>
      <c r="J50" s="433" t="s">
        <v>11</v>
      </c>
      <c r="K50" s="434"/>
      <c r="L50" s="435"/>
      <c r="M50" s="51"/>
      <c r="N50" s="52"/>
      <c r="O50" s="94"/>
      <c r="P50" s="487"/>
      <c r="Q50" s="481"/>
      <c r="R50" s="481"/>
      <c r="S50" s="481"/>
      <c r="T50" s="481"/>
    </row>
    <row r="51" spans="2:20" ht="12.75" customHeight="1" x14ac:dyDescent="0.25">
      <c r="B51" s="92"/>
      <c r="C51" s="19"/>
      <c r="D51" s="20"/>
      <c r="E51" s="20"/>
      <c r="F51" s="20" t="s">
        <v>14</v>
      </c>
      <c r="G51" s="68" t="s">
        <v>15</v>
      </c>
      <c r="H51" s="20" t="s">
        <v>42</v>
      </c>
      <c r="I51" s="71" t="s">
        <v>15</v>
      </c>
      <c r="J51" s="20" t="s">
        <v>9</v>
      </c>
      <c r="K51" s="493" t="s">
        <v>232</v>
      </c>
      <c r="L51" s="46" t="s">
        <v>12</v>
      </c>
      <c r="M51" s="20" t="s">
        <v>24</v>
      </c>
      <c r="N51" s="23" t="s">
        <v>25</v>
      </c>
      <c r="O51" s="94"/>
      <c r="P51" s="8"/>
      <c r="Q51" s="481"/>
      <c r="R51" s="481"/>
      <c r="S51" s="481"/>
      <c r="T51" s="481"/>
    </row>
    <row r="52" spans="2:20" ht="26.25" customHeight="1" thickBot="1" x14ac:dyDescent="0.3">
      <c r="B52" s="92"/>
      <c r="C52" s="21"/>
      <c r="D52" s="22" t="str">
        <f>IF(D8="y","(gal)","(ft)")</f>
        <v>(ft)</v>
      </c>
      <c r="E52" s="22" t="str">
        <f>IF(D8="y","(gal)","(ft)")</f>
        <v>(ft)</v>
      </c>
      <c r="F52" s="22" t="s">
        <v>17</v>
      </c>
      <c r="G52" s="69" t="s">
        <v>17</v>
      </c>
      <c r="H52" s="22" t="s">
        <v>17</v>
      </c>
      <c r="I52" s="72" t="s">
        <v>17</v>
      </c>
      <c r="J52" s="305" t="s">
        <v>32</v>
      </c>
      <c r="K52" s="491" t="s">
        <v>233</v>
      </c>
      <c r="L52" s="305" t="s">
        <v>32</v>
      </c>
      <c r="M52" s="22" t="s">
        <v>58</v>
      </c>
      <c r="N52" s="87" t="s">
        <v>58</v>
      </c>
      <c r="O52" s="94"/>
      <c r="Q52" s="481"/>
      <c r="R52" s="481"/>
      <c r="S52" s="481"/>
      <c r="T52" s="481"/>
    </row>
    <row r="53" spans="2:20" ht="13" thickTop="1" x14ac:dyDescent="0.25">
      <c r="B53" s="92">
        <f t="shared" ref="B53:B67" si="3">IF(D53=0,0,1)</f>
        <v>0</v>
      </c>
      <c r="C53" s="73">
        <v>1</v>
      </c>
      <c r="D53" s="74">
        <f>IF(ISBLANK(E18),E19,E18)</f>
        <v>0</v>
      </c>
      <c r="E53" s="74">
        <f>IF(ISBLANK(F18),F19,F18)</f>
        <v>0</v>
      </c>
      <c r="F53" s="86" t="str">
        <f>IF(OR($D$7="c",$D$7="h"),($D53)*PI()*($D$10/2)^2*7.48/10^6,IF($D$7="r",$D53*$D$10*$D$11*7.48/10^6,IF($D$8="y",$D53/10^6,"error")))</f>
        <v>error</v>
      </c>
      <c r="G53" s="86" t="str">
        <f>IF(OR($D$7="c",$D$7="h"),($E53-$D53)*PI()*($D$10/2)^2*7.48/10^6,IF($D$7="r",($E53-$D53)*$D$10*$D$11*7.48/10^6,IF($D$8="y",($E53-$D53)/10^6,"error")))</f>
        <v>error</v>
      </c>
      <c r="H53" s="49"/>
      <c r="I53" s="75" t="str">
        <f>IF(D53+E53=0,"n/a",IF(OR($D$7="c",$D$7="h"),((D53+E53)/2)*PI()*($D$10/2)^2*7.48/10^6,IF($D$7="r",((D53+E53)/2)*$D$10*$D$11*7.48/10^6,IF($D$8="y",((D53+E53)/2)/10^6,""))))</f>
        <v>n/a</v>
      </c>
      <c r="J53" s="49" t="e">
        <f t="shared" ref="J53:J67" si="4">IF(G53=0,"n/a",G53/F53)</f>
        <v>#VALUE!</v>
      </c>
      <c r="K53" s="492" t="str">
        <f>IF(AND('Tank Summary'!$R$16="y",'Tank Summary'!$R$15 = "n"), IF(E53&lt;=$D$10, 10.2, 3.58*(E53/$D$10)+6.66), IF(AND('Tank Summary'!$R$16="y", 'Tank Summary'!$R$15="y"),IF(E53 &lt;= (PI()/4)*$D$10^3, 10.2, 3.58*(E53/$D$12)+6.66), "Tank mixing equations do not apply"))</f>
        <v>Tank mixing equations do not apply</v>
      </c>
      <c r="L53" s="76" t="e">
        <f>IF(F53=0,"n/a",((K53/1.13)*$D$13)/((F53*10^6/7.48)^(1/3)))</f>
        <v>#VALUE!</v>
      </c>
      <c r="M53" s="49" t="str">
        <f>IF(ISERROR(H19-H18),"n/a",IF(ISBLANK(E18), "n/a",H19-H18))</f>
        <v>n/a</v>
      </c>
      <c r="N53" s="50" t="str">
        <f>IF(ISERROR(H19-H18),"n/a",IF(ISBLANK(E18), H19-H18,"n/a"))</f>
        <v>n/a</v>
      </c>
      <c r="O53" s="94"/>
      <c r="Q53" s="481"/>
      <c r="R53" s="481"/>
      <c r="S53" s="481"/>
      <c r="T53" s="481"/>
    </row>
    <row r="54" spans="2:20" x14ac:dyDescent="0.25">
      <c r="B54" s="92">
        <f t="shared" si="3"/>
        <v>0</v>
      </c>
      <c r="C54" s="77">
        <v>2</v>
      </c>
      <c r="D54" s="74">
        <f>IF(ISBLANK(E20),E21,E20)</f>
        <v>0</v>
      </c>
      <c r="E54" s="74">
        <f>IF(ISBLANK(F20),F21,F20)</f>
        <v>0</v>
      </c>
      <c r="F54" s="32" t="str">
        <f>IF(OR($D$7="c",$D$7="h"),($D54)*PI()*($D$10/2)^2*7.48/10^6,IF($D$7="r",$D54*$D$10*$D$11*7.48/10^6,IF($D$8="y",$D54/10^6,"error")))</f>
        <v>error</v>
      </c>
      <c r="G54" s="32" t="str">
        <f>IF(OR($D$7="c",$D$7="h"),($E54-$D54)*PI()*($D$10/2)^2*7.48/10^6,IF($D$7="r",($E54-$D54)*$D$10*$D$11*7.48/10^6,IF($D$8="y",($E54-$D54)/10^6,"error")))</f>
        <v>error</v>
      </c>
      <c r="H54" s="49" t="str">
        <f>IF(D54,IF(OR($D$7="c",$D$7="h"),($E53-$D54)*PI()*($D$10/2)^2*7.48/10^6,IF($D$7="r",($E53-$D54)*$D$10*$D$11*7.48/10^6,IF($D$8="y",($E53-$D54)/10^6,""))),"")</f>
        <v/>
      </c>
      <c r="I54" s="75" t="str">
        <f>IF(D54+E54=0,"n/a",IF(OR($D$7="c",$D$7="h"),((D54+E54)/2)*PI()*($D$10/2)^2*7.48/10^6,IF($D$7="r",((D54+E54)/2)*$D$10*$D$11*7.48/10^6,IF($D$8="y",((D54+E54)/2)/10^6,""))))</f>
        <v>n/a</v>
      </c>
      <c r="J54" s="11" t="e">
        <f t="shared" si="4"/>
        <v>#VALUE!</v>
      </c>
      <c r="K54" s="492" t="str">
        <f>IF(AND('Tank Summary'!$R$16="y",'Tank Summary'!$R$15 = "n"), IF(E54&lt;=$D$10, 10.2, 3.58*(E54/$D$10)+6.66), IF(AND('Tank Summary'!$R$16="y", 'Tank Summary'!$R$15="y"),IF(E54 &lt;= (PI()/4)*$D$10^3, 10.2, 3.58*(E54/$D$12)+6.66), "Tank mixing equations do not apply"))</f>
        <v>Tank mixing equations do not apply</v>
      </c>
      <c r="L54" s="76" t="e">
        <f t="shared" ref="L54:L67" si="5">IF(F54=0,"n/a",((K54/1.13)*$D$13)/((F54*10^6/7.48)^(1/3)))</f>
        <v>#VALUE!</v>
      </c>
      <c r="M54" s="11" t="str">
        <f>IF(ISERROR(H21-H20),"n/a",IF(ISBLANK(E20), H20-H19,H21-H20))</f>
        <v>n/a</v>
      </c>
      <c r="N54" s="47" t="str">
        <f>IF(ISERROR(H21-H20),"n/a",IF(ISBLANK(E20), H21-H20,H20-H19))</f>
        <v>n/a</v>
      </c>
      <c r="O54" s="94"/>
      <c r="Q54" s="481"/>
      <c r="R54" s="481"/>
      <c r="S54" s="481"/>
      <c r="T54" s="481"/>
    </row>
    <row r="55" spans="2:20" x14ac:dyDescent="0.25">
      <c r="B55" s="92">
        <f t="shared" si="3"/>
        <v>0</v>
      </c>
      <c r="C55" s="77">
        <v>3</v>
      </c>
      <c r="D55" s="74">
        <f>IF(ISBLANK(E22),E23,E22)</f>
        <v>0</v>
      </c>
      <c r="E55" s="74">
        <f>IF(ISBLANK(F22),F23,F22)</f>
        <v>0</v>
      </c>
      <c r="F55" s="32" t="str">
        <f t="shared" ref="F55:F67" si="6">IF(OR($D$7="c",$D$7="h"),($D55)*PI()*($D$10/2)^2*7.48/10^6,IF($D$7="r",$D55*$D$10*$D$11*7.48/10^6,IF($D$8="y",$D55/10^6,"error")))</f>
        <v>error</v>
      </c>
      <c r="G55" s="32" t="str">
        <f t="shared" ref="G55:G67" si="7">IF(OR($D$7="c",$D$7="h"),($E55-$D55)*PI()*($D$10/2)^2*7.48/10^6,IF($D$7="r",($E55-$D55)*$D$10*$D$11*7.48/10^6,IF($D$8="y",($E55-$D55)/10^6,"error")))</f>
        <v>error</v>
      </c>
      <c r="H55" s="49" t="str">
        <f t="shared" ref="H55:H67" si="8">IF(D55,IF(OR($D$7="c",$D$7="h"),($E54-$D55)*PI()*($D$10/2)^2*7.48/10^6,IF($D$7="r",($E54-$D55)*$D$10*$D$11*7.48/10^6,IF($D$8="y",($E54-$D55)/10^6,""))),"")</f>
        <v/>
      </c>
      <c r="I55" s="75" t="str">
        <f t="shared" ref="I55:I67" si="9">IF(D55+E55=0,"n/a",IF(OR($D$7="c",$D$7="h"),((D55+E55)/2)*PI()*($D$10/2)^2*7.48/10^6,IF($D$7="r",((D55+E55)/2)*$D$10*$D$11*7.48/10^6,IF($D$8="y",((D55+E55)/2)/10^6,""))))</f>
        <v>n/a</v>
      </c>
      <c r="J55" s="11" t="e">
        <f t="shared" si="4"/>
        <v>#VALUE!</v>
      </c>
      <c r="K55" s="492" t="str">
        <f>IF(AND('Tank Summary'!$R$16="y",'Tank Summary'!$R$15 = "n"), IF(E55&lt;=$D$10, 10.2, 3.58*(E55/$D$10)+6.66), IF(AND('Tank Summary'!$R$16="y", 'Tank Summary'!$R$15="y"),IF(E55 &lt;= (PI()/4)*$D$10^3, 10.2, 3.58*(E55/$D$12)+6.66), "Tank mixing equations do not apply"))</f>
        <v>Tank mixing equations do not apply</v>
      </c>
      <c r="L55" s="76" t="e">
        <f t="shared" si="5"/>
        <v>#VALUE!</v>
      </c>
      <c r="M55" s="11" t="str">
        <f>IF(ISERROR(H23-H22),"n/a",IF(ISBLANK(E22), H22-H21,H23-H22))</f>
        <v>n/a</v>
      </c>
      <c r="N55" s="47" t="str">
        <f>IF(ISERROR(H23-H22),"n/a",IF(ISBLANK(E22), H23-H22,H22-H21))</f>
        <v>n/a</v>
      </c>
      <c r="O55" s="94"/>
      <c r="Q55" s="481"/>
      <c r="R55" s="481"/>
      <c r="S55" s="481"/>
      <c r="T55" s="481"/>
    </row>
    <row r="56" spans="2:20" x14ac:dyDescent="0.25">
      <c r="B56" s="92">
        <f t="shared" si="3"/>
        <v>0</v>
      </c>
      <c r="C56" s="77">
        <v>4</v>
      </c>
      <c r="D56" s="74">
        <f>IF(ISBLANK(E24),E25,E24)</f>
        <v>0</v>
      </c>
      <c r="E56" s="74">
        <f>IF(ISBLANK(F24),F25,F24)</f>
        <v>0</v>
      </c>
      <c r="F56" s="32" t="str">
        <f t="shared" si="6"/>
        <v>error</v>
      </c>
      <c r="G56" s="32" t="str">
        <f t="shared" si="7"/>
        <v>error</v>
      </c>
      <c r="H56" s="49" t="str">
        <f t="shared" si="8"/>
        <v/>
      </c>
      <c r="I56" s="75" t="str">
        <f t="shared" si="9"/>
        <v>n/a</v>
      </c>
      <c r="J56" s="11" t="e">
        <f t="shared" si="4"/>
        <v>#VALUE!</v>
      </c>
      <c r="K56" s="492" t="str">
        <f>IF(AND('Tank Summary'!$R$16="y",'Tank Summary'!$R$15 = "n"), IF(E56&lt;=$D$10, 10.2, 3.58*(E56/$D$10)+6.66), IF(AND('Tank Summary'!$R$16="y", 'Tank Summary'!$R$15="y"),IF(E56 &lt;= (PI()/4)*$D$10^3, 10.2, 3.58*(E56/$D$12)+6.66), "Tank mixing equations do not apply"))</f>
        <v>Tank mixing equations do not apply</v>
      </c>
      <c r="L56" s="76" t="e">
        <f t="shared" si="5"/>
        <v>#VALUE!</v>
      </c>
      <c r="M56" s="11" t="str">
        <f>IF(ISERROR(H25-H24),"n/a",IF(ISBLANK(E24), H24-H23,H25-H24))</f>
        <v>n/a</v>
      </c>
      <c r="N56" s="47" t="str">
        <f>IF(ISERROR(H25-H24),"n/a",IF(ISBLANK(E24), H25-H24,H24-H23))</f>
        <v>n/a</v>
      </c>
      <c r="O56" s="94"/>
      <c r="Q56" s="481"/>
      <c r="R56" s="481"/>
      <c r="S56" s="481"/>
      <c r="T56" s="481"/>
    </row>
    <row r="57" spans="2:20" x14ac:dyDescent="0.25">
      <c r="B57" s="92">
        <f t="shared" si="3"/>
        <v>0</v>
      </c>
      <c r="C57" s="77">
        <v>5</v>
      </c>
      <c r="D57" s="74">
        <f>IF(ISBLANK(E26),E27,E26)</f>
        <v>0</v>
      </c>
      <c r="E57" s="74">
        <f>IF(ISBLANK(F26),F27,F26)</f>
        <v>0</v>
      </c>
      <c r="F57" s="32" t="str">
        <f t="shared" si="6"/>
        <v>error</v>
      </c>
      <c r="G57" s="32" t="str">
        <f t="shared" si="7"/>
        <v>error</v>
      </c>
      <c r="H57" s="49" t="str">
        <f t="shared" si="8"/>
        <v/>
      </c>
      <c r="I57" s="75" t="str">
        <f t="shared" si="9"/>
        <v>n/a</v>
      </c>
      <c r="J57" s="11" t="e">
        <f t="shared" si="4"/>
        <v>#VALUE!</v>
      </c>
      <c r="K57" s="492" t="str">
        <f>IF(AND('Tank Summary'!$R$16="y",'Tank Summary'!$R$15 = "n"), IF(E57&lt;=$D$10, 10.2, 3.58*(E57/$D$10)+6.66), IF(AND('Tank Summary'!$R$16="y", 'Tank Summary'!$R$15="y"),IF(E57 &lt;= (PI()/4)*$D$10^3, 10.2, 3.58*(E57/$D$12)+6.66), "Tank mixing equations do not apply"))</f>
        <v>Tank mixing equations do not apply</v>
      </c>
      <c r="L57" s="76" t="e">
        <f t="shared" si="5"/>
        <v>#VALUE!</v>
      </c>
      <c r="M57" s="11" t="str">
        <f>IF(ISERROR(H27-H26),"n/a",IF(ISBLANK(E26), H26-H25,H27-H26))</f>
        <v>n/a</v>
      </c>
      <c r="N57" s="47" t="str">
        <f>IF(ISERROR(H27-H26),"n/a",IF(ISBLANK(E26), H27-H26,H26-H25))</f>
        <v>n/a</v>
      </c>
      <c r="O57" s="94"/>
      <c r="Q57" s="481"/>
      <c r="R57" s="481"/>
      <c r="S57" s="481"/>
      <c r="T57" s="481"/>
    </row>
    <row r="58" spans="2:20" x14ac:dyDescent="0.25">
      <c r="B58" s="92">
        <f t="shared" si="3"/>
        <v>0</v>
      </c>
      <c r="C58" s="77">
        <v>6</v>
      </c>
      <c r="D58" s="74">
        <f>IF(ISBLANK(E28),E29,E28)</f>
        <v>0</v>
      </c>
      <c r="E58" s="74">
        <f>IF(ISBLANK(F28),F29,F28)</f>
        <v>0</v>
      </c>
      <c r="F58" s="32" t="str">
        <f t="shared" si="6"/>
        <v>error</v>
      </c>
      <c r="G58" s="32" t="str">
        <f t="shared" si="7"/>
        <v>error</v>
      </c>
      <c r="H58" s="49" t="str">
        <f t="shared" si="8"/>
        <v/>
      </c>
      <c r="I58" s="75" t="str">
        <f t="shared" si="9"/>
        <v>n/a</v>
      </c>
      <c r="J58" s="11" t="e">
        <f t="shared" si="4"/>
        <v>#VALUE!</v>
      </c>
      <c r="K58" s="492" t="str">
        <f>IF(AND('Tank Summary'!$R$16="y",'Tank Summary'!$R$15 = "n"), IF(E58&lt;=$D$10, 10.2, 3.58*(E58/$D$10)+6.66), IF(AND('Tank Summary'!$R$16="y", 'Tank Summary'!$R$15="y"),IF(E58 &lt;= (PI()/4)*$D$10^3, 10.2, 3.58*(E58/$D$12)+6.66), "Tank mixing equations do not apply"))</f>
        <v>Tank mixing equations do not apply</v>
      </c>
      <c r="L58" s="76" t="e">
        <f t="shared" si="5"/>
        <v>#VALUE!</v>
      </c>
      <c r="M58" s="11" t="str">
        <f>IF(ISERROR(H29-H28),"n/a",IF(ISBLANK(E28), H28-H27,H29-H28))</f>
        <v>n/a</v>
      </c>
      <c r="N58" s="47" t="str">
        <f>IF(ISERROR(H29-H28),"n/a",IF(ISBLANK(E28), H29-H28,H28-H27))</f>
        <v>n/a</v>
      </c>
      <c r="O58" s="94"/>
      <c r="Q58" s="481"/>
      <c r="R58" s="481"/>
      <c r="S58" s="481"/>
      <c r="T58" s="481"/>
    </row>
    <row r="59" spans="2:20" x14ac:dyDescent="0.25">
      <c r="B59" s="92">
        <f t="shared" si="3"/>
        <v>0</v>
      </c>
      <c r="C59" s="77">
        <v>7</v>
      </c>
      <c r="D59" s="74">
        <f>IF(ISBLANK(E30),E31,E30)</f>
        <v>0</v>
      </c>
      <c r="E59" s="74">
        <f>IF(ISBLANK(F30),F31,F30)</f>
        <v>0</v>
      </c>
      <c r="F59" s="32" t="str">
        <f t="shared" si="6"/>
        <v>error</v>
      </c>
      <c r="G59" s="32" t="str">
        <f t="shared" si="7"/>
        <v>error</v>
      </c>
      <c r="H59" s="49" t="str">
        <f t="shared" si="8"/>
        <v/>
      </c>
      <c r="I59" s="75" t="str">
        <f t="shared" si="9"/>
        <v>n/a</v>
      </c>
      <c r="J59" s="11" t="e">
        <f t="shared" si="4"/>
        <v>#VALUE!</v>
      </c>
      <c r="K59" s="492" t="str">
        <f>IF(AND('Tank Summary'!$R$16="y",'Tank Summary'!$R$15 = "n"), IF(E59&lt;=$D$10, 10.2, 3.58*(E59/$D$10)+6.66), IF(AND('Tank Summary'!$R$16="y", 'Tank Summary'!$R$15="y"),IF(E59 &lt;= (PI()/4)*$D$10^3, 10.2, 3.58*(E59/$D$12)+6.66), "Tank mixing equations do not apply"))</f>
        <v>Tank mixing equations do not apply</v>
      </c>
      <c r="L59" s="76" t="e">
        <f t="shared" si="5"/>
        <v>#VALUE!</v>
      </c>
      <c r="M59" s="11" t="str">
        <f>IF(ISERROR(H31-H30),"n/a",IF(ISBLANK(E30), H30-H29,H31-H30))</f>
        <v>n/a</v>
      </c>
      <c r="N59" s="47" t="str">
        <f>IF(ISERROR(H31-H30),"n/a",IF(ISBLANK(E30), H31-H30,H30-H29))</f>
        <v>n/a</v>
      </c>
      <c r="O59" s="94"/>
      <c r="Q59" s="481"/>
      <c r="R59" s="481"/>
      <c r="S59" s="481"/>
      <c r="T59" s="481"/>
    </row>
    <row r="60" spans="2:20" x14ac:dyDescent="0.25">
      <c r="B60" s="92">
        <f t="shared" si="3"/>
        <v>0</v>
      </c>
      <c r="C60" s="77">
        <v>8</v>
      </c>
      <c r="D60" s="74">
        <f>IF(ISBLANK(E32),E33,E32)</f>
        <v>0</v>
      </c>
      <c r="E60" s="74">
        <f>IF(ISBLANK(F32),F33,F32)</f>
        <v>0</v>
      </c>
      <c r="F60" s="32" t="str">
        <f t="shared" si="6"/>
        <v>error</v>
      </c>
      <c r="G60" s="32" t="str">
        <f t="shared" si="7"/>
        <v>error</v>
      </c>
      <c r="H60" s="49" t="str">
        <f t="shared" si="8"/>
        <v/>
      </c>
      <c r="I60" s="75" t="str">
        <f t="shared" si="9"/>
        <v>n/a</v>
      </c>
      <c r="J60" s="11" t="e">
        <f t="shared" si="4"/>
        <v>#VALUE!</v>
      </c>
      <c r="K60" s="492" t="str">
        <f>IF(AND('Tank Summary'!$R$16="y",'Tank Summary'!$R$15 = "n"), IF(E60&lt;=$D$10, 10.2, 3.58*(E60/$D$10)+6.66), IF(AND('Tank Summary'!$R$16="y", 'Tank Summary'!$R$15="y"),IF(E60 &lt;= (PI()/4)*$D$10^3, 10.2, 3.58*(E60/$D$12)+6.66), "Tank mixing equations do not apply"))</f>
        <v>Tank mixing equations do not apply</v>
      </c>
      <c r="L60" s="76" t="e">
        <f t="shared" si="5"/>
        <v>#VALUE!</v>
      </c>
      <c r="M60" s="11" t="str">
        <f>IF(ISERROR(H33-H32),"n/a",IF(ISBLANK(E32), H32-H31,H33-H32))</f>
        <v>n/a</v>
      </c>
      <c r="N60" s="47" t="str">
        <f>IF(ISERROR(H33-H32),"n/a",IF(ISBLANK(E32), H33-H32,H32-H31))</f>
        <v>n/a</v>
      </c>
      <c r="O60" s="94"/>
      <c r="Q60" s="481"/>
      <c r="R60" s="481"/>
      <c r="S60" s="481"/>
      <c r="T60" s="481"/>
    </row>
    <row r="61" spans="2:20" x14ac:dyDescent="0.25">
      <c r="B61" s="92">
        <f t="shared" si="3"/>
        <v>0</v>
      </c>
      <c r="C61" s="77">
        <v>9</v>
      </c>
      <c r="D61" s="74">
        <f>IF(ISBLANK(E34),E35,E34)</f>
        <v>0</v>
      </c>
      <c r="E61" s="74">
        <f>IF(ISBLANK(F34),F35,F34)</f>
        <v>0</v>
      </c>
      <c r="F61" s="32" t="str">
        <f t="shared" si="6"/>
        <v>error</v>
      </c>
      <c r="G61" s="32" t="str">
        <f t="shared" si="7"/>
        <v>error</v>
      </c>
      <c r="H61" s="49" t="str">
        <f t="shared" si="8"/>
        <v/>
      </c>
      <c r="I61" s="75" t="str">
        <f t="shared" si="9"/>
        <v>n/a</v>
      </c>
      <c r="J61" s="11" t="e">
        <f t="shared" si="4"/>
        <v>#VALUE!</v>
      </c>
      <c r="K61" s="492" t="str">
        <f>IF(AND('Tank Summary'!$R$16="y",'Tank Summary'!$R$15 = "n"), IF(E61&lt;=$D$10, 10.2, 3.58*(E61/$D$10)+6.66), IF(AND('Tank Summary'!$R$16="y", 'Tank Summary'!$R$15="y"),IF(E61 &lt;= (PI()/4)*$D$10^3, 10.2, 3.58*(E61/$D$12)+6.66), "Tank mixing equations do not apply"))</f>
        <v>Tank mixing equations do not apply</v>
      </c>
      <c r="L61" s="76" t="e">
        <f t="shared" si="5"/>
        <v>#VALUE!</v>
      </c>
      <c r="M61" s="11" t="str">
        <f>IF(ISERROR(H35-H34),"n/a",IF(ISBLANK(E34), H34-H33,H35-H34))</f>
        <v>n/a</v>
      </c>
      <c r="N61" s="47" t="str">
        <f>IF(ISERROR(H35-H34),"n/a",IF(ISBLANK(E34), H35-H34,H34-H33))</f>
        <v>n/a</v>
      </c>
      <c r="O61" s="94"/>
      <c r="Q61" s="481"/>
      <c r="R61" s="481"/>
      <c r="S61" s="481"/>
      <c r="T61" s="481"/>
    </row>
    <row r="62" spans="2:20" x14ac:dyDescent="0.25">
      <c r="B62" s="92">
        <f t="shared" si="3"/>
        <v>0</v>
      </c>
      <c r="C62" s="77">
        <v>10</v>
      </c>
      <c r="D62" s="74">
        <f>IF(ISBLANK(E36),E37,E36)</f>
        <v>0</v>
      </c>
      <c r="E62" s="74">
        <f>IF(ISBLANK(F36),F37,F36)</f>
        <v>0</v>
      </c>
      <c r="F62" s="32" t="str">
        <f t="shared" si="6"/>
        <v>error</v>
      </c>
      <c r="G62" s="32" t="str">
        <f t="shared" si="7"/>
        <v>error</v>
      </c>
      <c r="H62" s="49" t="str">
        <f t="shared" si="8"/>
        <v/>
      </c>
      <c r="I62" s="75" t="str">
        <f t="shared" si="9"/>
        <v>n/a</v>
      </c>
      <c r="J62" s="11" t="e">
        <f t="shared" si="4"/>
        <v>#VALUE!</v>
      </c>
      <c r="K62" s="492" t="str">
        <f>IF(AND('Tank Summary'!$R$16="y",'Tank Summary'!$R$15 = "n"), IF(E62&lt;=$D$10, 10.2, 3.58*(E62/$D$10)+6.66), IF(AND('Tank Summary'!$R$16="y", 'Tank Summary'!$R$15="y"),IF(E62 &lt;= (PI()/4)*$D$10^3, 10.2, 3.58*(E62/$D$12)+6.66), "Tank mixing equations do not apply"))</f>
        <v>Tank mixing equations do not apply</v>
      </c>
      <c r="L62" s="76" t="e">
        <f t="shared" si="5"/>
        <v>#VALUE!</v>
      </c>
      <c r="M62" s="11" t="str">
        <f>IF(ISERROR(H37-H36),"n/a",IF(ISBLANK(E36), H36-H35,H37-H36))</f>
        <v>n/a</v>
      </c>
      <c r="N62" s="47" t="str">
        <f>IF(ISERROR(H37-H36),"n/a",IF(ISBLANK(E36), H37-H36,H36-H35))</f>
        <v>n/a</v>
      </c>
      <c r="O62" s="94"/>
      <c r="Q62" s="481"/>
      <c r="R62" s="481"/>
      <c r="S62" s="481"/>
      <c r="T62" s="481"/>
    </row>
    <row r="63" spans="2:20" x14ac:dyDescent="0.25">
      <c r="B63" s="92">
        <f t="shared" si="3"/>
        <v>0</v>
      </c>
      <c r="C63" s="77">
        <v>11</v>
      </c>
      <c r="D63" s="74">
        <f>IF(ISBLANK(E38),E39,E38)</f>
        <v>0</v>
      </c>
      <c r="E63" s="74">
        <f>IF(ISBLANK(F38),F39,F38)</f>
        <v>0</v>
      </c>
      <c r="F63" s="32" t="str">
        <f t="shared" si="6"/>
        <v>error</v>
      </c>
      <c r="G63" s="32" t="str">
        <f t="shared" si="7"/>
        <v>error</v>
      </c>
      <c r="H63" s="49" t="str">
        <f t="shared" si="8"/>
        <v/>
      </c>
      <c r="I63" s="75" t="str">
        <f t="shared" si="9"/>
        <v>n/a</v>
      </c>
      <c r="J63" s="11" t="e">
        <f t="shared" si="4"/>
        <v>#VALUE!</v>
      </c>
      <c r="K63" s="492" t="str">
        <f>IF(AND('Tank Summary'!$R$16="y",'Tank Summary'!$R$15 = "n"), IF(E63&lt;=$D$10, 10.2, 3.58*(E63/$D$10)+6.66), IF(AND('Tank Summary'!$R$16="y", 'Tank Summary'!$R$15="y"),IF(E63 &lt;= (PI()/4)*$D$10^3, 10.2, 3.58*(E63/$D$12)+6.66), "Tank mixing equations do not apply"))</f>
        <v>Tank mixing equations do not apply</v>
      </c>
      <c r="L63" s="76" t="e">
        <f t="shared" si="5"/>
        <v>#VALUE!</v>
      </c>
      <c r="M63" s="11" t="str">
        <f>IF(ISERROR(H39-H38),"n/a",IF(ISBLANK(E38), H38-H37,H39-H38))</f>
        <v>n/a</v>
      </c>
      <c r="N63" s="47" t="str">
        <f>IF(ISERROR(H39-H38),"n/a",IF(ISBLANK(E38), H39-H38,H38-H37))</f>
        <v>n/a</v>
      </c>
      <c r="O63" s="94"/>
      <c r="Q63" s="481"/>
      <c r="R63" s="481"/>
      <c r="S63" s="481"/>
      <c r="T63" s="481"/>
    </row>
    <row r="64" spans="2:20" x14ac:dyDescent="0.25">
      <c r="B64" s="92">
        <f t="shared" si="3"/>
        <v>0</v>
      </c>
      <c r="C64" s="77">
        <v>12</v>
      </c>
      <c r="D64" s="74">
        <f>IF(ISBLANK(E40),E41,E40)</f>
        <v>0</v>
      </c>
      <c r="E64" s="74">
        <f>IF(ISBLANK(F40),F41,F40)</f>
        <v>0</v>
      </c>
      <c r="F64" s="32" t="str">
        <f t="shared" si="6"/>
        <v>error</v>
      </c>
      <c r="G64" s="32" t="str">
        <f t="shared" si="7"/>
        <v>error</v>
      </c>
      <c r="H64" s="49" t="str">
        <f t="shared" si="8"/>
        <v/>
      </c>
      <c r="I64" s="75" t="str">
        <f t="shared" si="9"/>
        <v>n/a</v>
      </c>
      <c r="J64" s="11" t="e">
        <f t="shared" si="4"/>
        <v>#VALUE!</v>
      </c>
      <c r="K64" s="492" t="str">
        <f>IF(AND('Tank Summary'!$R$16="y",'Tank Summary'!$R$15 = "n"), IF(E64&lt;=$D$10, 10.2, 3.58*(E64/$D$10)+6.66), IF(AND('Tank Summary'!$R$16="y", 'Tank Summary'!$R$15="y"),IF(E64 &lt;= (PI()/4)*$D$10^3, 10.2, 3.58*(E64/$D$12)+6.66), "Tank mixing equations do not apply"))</f>
        <v>Tank mixing equations do not apply</v>
      </c>
      <c r="L64" s="76" t="e">
        <f t="shared" si="5"/>
        <v>#VALUE!</v>
      </c>
      <c r="M64" s="11" t="str">
        <f>IF(ISERROR(H41-H40),"n/a",IF(ISBLANK(E40), H40-H39,H41-H40))</f>
        <v>n/a</v>
      </c>
      <c r="N64" s="47" t="str">
        <f>IF(ISERROR(H41-H40),"n/a",IF(ISBLANK(E40), H41-H40,H40-H39))</f>
        <v>n/a</v>
      </c>
      <c r="O64" s="94"/>
      <c r="Q64" s="481"/>
      <c r="R64" s="481"/>
      <c r="S64" s="481"/>
      <c r="T64" s="481"/>
    </row>
    <row r="65" spans="1:20" x14ac:dyDescent="0.25">
      <c r="B65" s="92">
        <f t="shared" si="3"/>
        <v>0</v>
      </c>
      <c r="C65" s="77">
        <v>13</v>
      </c>
      <c r="D65" s="74">
        <f>IF(ISBLANK(E42),E43,E42)</f>
        <v>0</v>
      </c>
      <c r="E65" s="74">
        <f>IF(ISBLANK(F42),F43,F42)</f>
        <v>0</v>
      </c>
      <c r="F65" s="32" t="str">
        <f t="shared" si="6"/>
        <v>error</v>
      </c>
      <c r="G65" s="32" t="str">
        <f t="shared" si="7"/>
        <v>error</v>
      </c>
      <c r="H65" s="49" t="str">
        <f t="shared" si="8"/>
        <v/>
      </c>
      <c r="I65" s="75" t="str">
        <f t="shared" si="9"/>
        <v>n/a</v>
      </c>
      <c r="J65" s="11" t="e">
        <f t="shared" si="4"/>
        <v>#VALUE!</v>
      </c>
      <c r="K65" s="492" t="str">
        <f>IF(AND('Tank Summary'!$R$16="y",'Tank Summary'!$R$15 = "n"), IF(E65&lt;=$D$10, 10.2, 3.58*(E65/$D$10)+6.66), IF(AND('Tank Summary'!$R$16="y", 'Tank Summary'!$R$15="y"),IF(E65 &lt;= (PI()/4)*$D$10^3, 10.2, 3.58*(E65/$D$12)+6.66), "Tank mixing equations do not apply"))</f>
        <v>Tank mixing equations do not apply</v>
      </c>
      <c r="L65" s="76" t="e">
        <f t="shared" si="5"/>
        <v>#VALUE!</v>
      </c>
      <c r="M65" s="11" t="str">
        <f>IF(ISERROR(H43-H42),"n/a",IF(ISBLANK(E42), H42-H41,H43-H42))</f>
        <v>n/a</v>
      </c>
      <c r="N65" s="47" t="str">
        <f>IF(ISERROR(H43-H42),"n/a",IF(ISBLANK(E42), H43-H42,H42-H41))</f>
        <v>n/a</v>
      </c>
      <c r="O65" s="94"/>
      <c r="Q65" s="481"/>
      <c r="R65" s="481"/>
      <c r="S65" s="481"/>
      <c r="T65" s="481"/>
    </row>
    <row r="66" spans="1:20" x14ac:dyDescent="0.25">
      <c r="B66" s="92">
        <f t="shared" si="3"/>
        <v>0</v>
      </c>
      <c r="C66" s="77">
        <v>14</v>
      </c>
      <c r="D66" s="74">
        <f>IF(ISBLANK(E44),E45,E44)</f>
        <v>0</v>
      </c>
      <c r="E66" s="74">
        <f>IF(ISBLANK(F44),F45,F44)</f>
        <v>0</v>
      </c>
      <c r="F66" s="32" t="str">
        <f t="shared" si="6"/>
        <v>error</v>
      </c>
      <c r="G66" s="32" t="str">
        <f t="shared" si="7"/>
        <v>error</v>
      </c>
      <c r="H66" s="49" t="str">
        <f t="shared" si="8"/>
        <v/>
      </c>
      <c r="I66" s="75" t="str">
        <f t="shared" si="9"/>
        <v>n/a</v>
      </c>
      <c r="J66" s="11" t="e">
        <f t="shared" si="4"/>
        <v>#VALUE!</v>
      </c>
      <c r="K66" s="492" t="str">
        <f>IF(AND('Tank Summary'!$R$16="y",'Tank Summary'!$R$15 = "n"), IF(E66&lt;=$D$10, 10.2, 3.58*(E66/$D$10)+6.66), IF(AND('Tank Summary'!$R$16="y", 'Tank Summary'!$R$15="y"),IF(E66 &lt;= (PI()/4)*$D$10^3, 10.2, 3.58*(E66/$D$12)+6.66), "Tank mixing equations do not apply"))</f>
        <v>Tank mixing equations do not apply</v>
      </c>
      <c r="L66" s="76" t="e">
        <f t="shared" si="5"/>
        <v>#VALUE!</v>
      </c>
      <c r="M66" s="11" t="str">
        <f>IF(ISERROR(H45-H44),"n/a",IF(ISBLANK(E44), H44-H43,H45-H44))</f>
        <v>n/a</v>
      </c>
      <c r="N66" s="47" t="str">
        <f>IF(ISERROR(H45-H44),"n/a",IF(ISBLANK(E44), H45-H44,H44-H43))</f>
        <v>n/a</v>
      </c>
      <c r="O66" s="94"/>
      <c r="Q66" s="481"/>
      <c r="R66" s="481"/>
      <c r="S66" s="481"/>
      <c r="T66" s="481"/>
    </row>
    <row r="67" spans="1:20" ht="13" thickBot="1" x14ac:dyDescent="0.3">
      <c r="B67" s="92">
        <f t="shared" si="3"/>
        <v>0</v>
      </c>
      <c r="C67" s="78">
        <v>15</v>
      </c>
      <c r="D67" s="79">
        <f>IF(ISBLANK(E46),E47,E46)</f>
        <v>0</v>
      </c>
      <c r="E67" s="79">
        <f>IF(ISBLANK(F46),F47,F46)</f>
        <v>0</v>
      </c>
      <c r="F67" s="127" t="str">
        <f t="shared" si="6"/>
        <v>error</v>
      </c>
      <c r="G67" s="127" t="str">
        <f t="shared" si="7"/>
        <v>error</v>
      </c>
      <c r="H67" s="128" t="str">
        <f t="shared" si="8"/>
        <v/>
      </c>
      <c r="I67" s="129" t="str">
        <f t="shared" si="9"/>
        <v>n/a</v>
      </c>
      <c r="J67" s="48" t="e">
        <f t="shared" si="4"/>
        <v>#VALUE!</v>
      </c>
      <c r="K67" s="492" t="str">
        <f>IF(AND('Tank Summary'!$R$16="y",'Tank Summary'!$R$15 = "n"), IF(E67&lt;=$D$10, 10.2, 3.58*(E67/$D$10)+6.66), IF(AND('Tank Summary'!$R$16="y", 'Tank Summary'!$R$15="y"),IF(E67 &lt;= (PI()/4)*$D$10^3, 10.2, 3.58*(E67/$D$12)+6.66), "Tank mixing equations do not apply"))</f>
        <v>Tank mixing equations do not apply</v>
      </c>
      <c r="L67" s="48" t="e">
        <f t="shared" si="5"/>
        <v>#VALUE!</v>
      </c>
      <c r="M67" s="48" t="str">
        <f>IF(ISERROR(H47-H46),"n/a",IF(ISBLANK(E46), H46-H45,H47-H46))</f>
        <v>n/a</v>
      </c>
      <c r="N67" s="65" t="str">
        <f>IF(ISERROR(H47-H46),"n/a",IF(ISBLANK(E46), H47-H46,H46-H45))</f>
        <v>n/a</v>
      </c>
      <c r="O67" s="94"/>
      <c r="Q67" s="481"/>
      <c r="R67" s="481"/>
      <c r="S67" s="481"/>
      <c r="T67" s="481"/>
    </row>
    <row r="68" spans="1:20" ht="13" x14ac:dyDescent="0.3">
      <c r="B68" s="92"/>
      <c r="C68" s="8"/>
      <c r="D68" s="25"/>
      <c r="E68" s="26"/>
      <c r="F68" s="26"/>
      <c r="G68" s="26"/>
      <c r="H68" s="26"/>
      <c r="I68" s="27"/>
      <c r="J68" s="27"/>
      <c r="K68" s="27"/>
      <c r="L68" s="8"/>
      <c r="M68" s="98"/>
      <c r="N68" s="8"/>
      <c r="O68" s="94"/>
      <c r="Q68" s="481"/>
      <c r="R68" s="481"/>
      <c r="S68" s="481"/>
      <c r="T68" s="481"/>
    </row>
    <row r="69" spans="1:20" ht="13.5" thickBot="1" x14ac:dyDescent="0.35">
      <c r="A69" s="94"/>
      <c r="B69" s="92"/>
      <c r="C69" s="99" t="s">
        <v>40</v>
      </c>
      <c r="D69" s="8"/>
      <c r="E69" s="8"/>
      <c r="F69" s="8"/>
      <c r="G69" s="27"/>
      <c r="H69" s="366"/>
      <c r="I69" s="366" t="s">
        <v>18</v>
      </c>
      <c r="J69" s="366"/>
      <c r="K69" s="366"/>
      <c r="L69" s="100"/>
      <c r="M69" s="98"/>
      <c r="N69" s="27"/>
      <c r="O69" s="94"/>
      <c r="Q69" s="481"/>
      <c r="R69" s="481"/>
      <c r="S69" s="481"/>
      <c r="T69" s="481"/>
    </row>
    <row r="70" spans="1:20" ht="13" x14ac:dyDescent="0.3">
      <c r="B70" s="92"/>
      <c r="C70" s="57" t="s">
        <v>39</v>
      </c>
      <c r="D70" s="58"/>
      <c r="E70" s="61" t="e">
        <f>SUM(G53:G67)/COUNTIF(G53:G67,"&gt;0")</f>
        <v>#DIV/0!</v>
      </c>
      <c r="F70" s="52" t="s">
        <v>4</v>
      </c>
      <c r="G70" s="27"/>
      <c r="H70" s="7" t="str">
        <f>IF(D8="y","Avg Vol at Start of Fill","Avg Min Water Level")</f>
        <v>Avg Min Water Level</v>
      </c>
      <c r="I70" s="38"/>
      <c r="J70" s="35" t="e">
        <f>IF('Tank Summary'!K16="n","",SUM(D53:D67)/SUM(B53:B67))</f>
        <v>#DIV/0!</v>
      </c>
      <c r="K70" s="15" t="str">
        <f>IF(D8="y","gal","ft")</f>
        <v>ft</v>
      </c>
      <c r="L70" s="8"/>
      <c r="M70" s="8"/>
      <c r="N70" s="98"/>
      <c r="O70" s="94"/>
      <c r="Q70" s="481"/>
      <c r="R70" s="481"/>
      <c r="S70" s="481"/>
      <c r="T70" s="481"/>
    </row>
    <row r="71" spans="1:20" ht="13" x14ac:dyDescent="0.3">
      <c r="B71" s="92"/>
      <c r="C71" s="4" t="s">
        <v>43</v>
      </c>
      <c r="D71" s="55"/>
      <c r="E71" s="2" t="e">
        <f>SUM(H53:H67)/COUNTIF(H53:H67,"&gt;0")</f>
        <v>#DIV/0!</v>
      </c>
      <c r="F71" s="5" t="s">
        <v>5</v>
      </c>
      <c r="G71" s="8"/>
      <c r="H71" s="39" t="s">
        <v>55</v>
      </c>
      <c r="I71" s="37"/>
      <c r="J71" s="36" t="e">
        <f>IF('Tank Summary'!K16="n","",AVERAGE(J53:J67))</f>
        <v>#VALUE!</v>
      </c>
      <c r="K71" s="16"/>
      <c r="L71" s="8"/>
      <c r="M71" s="8"/>
      <c r="N71" s="8"/>
      <c r="O71" s="94"/>
    </row>
    <row r="72" spans="1:20" ht="13" x14ac:dyDescent="0.3">
      <c r="B72" s="92"/>
      <c r="C72" s="39" t="s">
        <v>36</v>
      </c>
      <c r="D72" s="63"/>
      <c r="E72" s="130" t="e">
        <f>AVERAGE(M53:M67)</f>
        <v>#DIV/0!</v>
      </c>
      <c r="F72" s="16" t="s">
        <v>2</v>
      </c>
      <c r="G72" s="8"/>
      <c r="H72" s="39" t="s">
        <v>56</v>
      </c>
      <c r="I72" s="37"/>
      <c r="J72" s="36" t="e">
        <f>IF('Tank Summary'!K16="n","",AVERAGE(L53:L67))</f>
        <v>#VALUE!</v>
      </c>
      <c r="K72" s="16"/>
      <c r="L72" s="8"/>
      <c r="M72" s="8"/>
      <c r="N72" s="8"/>
      <c r="O72" s="94"/>
    </row>
    <row r="73" spans="1:20" ht="13" x14ac:dyDescent="0.3">
      <c r="B73" s="92"/>
      <c r="C73" s="39" t="s">
        <v>37</v>
      </c>
      <c r="D73" s="63"/>
      <c r="E73" s="131" t="e">
        <f>AVERAGE(N53:N67)</f>
        <v>#DIV/0!</v>
      </c>
      <c r="F73" s="62" t="s">
        <v>2</v>
      </c>
      <c r="G73" s="8"/>
      <c r="H73" s="39" t="str">
        <f>IF(D8="y","Avg Measured Vol Change","Avg Measured Water Level Change")</f>
        <v>Avg Measured Water Level Change</v>
      </c>
      <c r="I73" s="37"/>
      <c r="J73" s="83" t="e">
        <f>IF('Tank Summary'!K16="n","",(SUM(E53:E67)/SUM(B53:B67))-J70)</f>
        <v>#DIV/0!</v>
      </c>
      <c r="K73" s="16" t="str">
        <f>IF(D8="y","gal","ft")</f>
        <v>ft</v>
      </c>
      <c r="L73" s="8"/>
      <c r="M73" s="8"/>
      <c r="N73" s="8"/>
      <c r="O73" s="94"/>
    </row>
    <row r="74" spans="1:20" ht="24.75" customHeight="1" x14ac:dyDescent="0.3">
      <c r="B74" s="92"/>
      <c r="C74" s="39" t="s">
        <v>28</v>
      </c>
      <c r="D74" s="63"/>
      <c r="E74" s="34" t="e">
        <f>E70*10^6/(E72*24*60)</f>
        <v>#DIV/0!</v>
      </c>
      <c r="F74" s="41" t="s">
        <v>26</v>
      </c>
      <c r="G74" s="8"/>
      <c r="H74" s="505" t="str">
        <f>IF(D8="y","Desired Vol Change Needed for Good Mixing","Desired Water Level Change Needed for Good Mixing")</f>
        <v>Desired Water Level Change Needed for Good Mixing</v>
      </c>
      <c r="I74" s="506"/>
      <c r="J74" s="45" t="e">
        <f>IF('Tank Summary'!K16="n","",$J$70*J72)</f>
        <v>#DIV/0!</v>
      </c>
      <c r="K74" s="43" t="str">
        <f>IF(D8="y","gal","ft")</f>
        <v>ft</v>
      </c>
      <c r="L74" s="8"/>
      <c r="M74" s="8"/>
      <c r="N74" s="8"/>
      <c r="O74" s="94"/>
    </row>
    <row r="75" spans="1:20" ht="24.75" customHeight="1" x14ac:dyDescent="0.3">
      <c r="B75" s="92"/>
      <c r="C75" s="39" t="s">
        <v>29</v>
      </c>
      <c r="D75" s="63"/>
      <c r="E75" s="34" t="e">
        <f>E71*10^6/(E73*24*60)</f>
        <v>#DIV/0!</v>
      </c>
      <c r="F75" s="41" t="s">
        <v>26</v>
      </c>
      <c r="G75" s="8"/>
      <c r="H75" s="39" t="s">
        <v>57</v>
      </c>
      <c r="I75" s="432"/>
      <c r="J75" s="160" t="e">
        <f>IF('Tank Summary'!K16="n","",J73/J74)</f>
        <v>#DIV/0!</v>
      </c>
      <c r="K75" s="5"/>
      <c r="L75" s="8"/>
      <c r="M75" s="8"/>
      <c r="N75" s="8"/>
      <c r="O75" s="94"/>
    </row>
    <row r="76" spans="1:20" ht="27" customHeight="1" thickBot="1" x14ac:dyDescent="0.35">
      <c r="B76" s="92"/>
      <c r="C76" s="59" t="s">
        <v>38</v>
      </c>
      <c r="D76" s="60"/>
      <c r="E76" s="64" t="e">
        <f>E72+E73</f>
        <v>#DIV/0!</v>
      </c>
      <c r="F76" s="24" t="s">
        <v>2</v>
      </c>
      <c r="G76" s="8"/>
      <c r="H76" s="42" t="s">
        <v>54</v>
      </c>
      <c r="I76" s="431"/>
      <c r="J76" s="44" t="e">
        <f>IF('Tank Summary'!K16="n","",(((((SUM(F53:F67)/SUM(B53:B67))*10^6/7.48)^(1/3))*$J$71)/9)*12)</f>
        <v>#DIV/0!</v>
      </c>
      <c r="K76" s="3" t="s">
        <v>31</v>
      </c>
      <c r="L76" s="8"/>
      <c r="M76" s="8"/>
      <c r="N76" s="8"/>
      <c r="O76" s="94"/>
    </row>
    <row r="77" spans="1:20" ht="14.25" customHeight="1" x14ac:dyDescent="0.3">
      <c r="B77" s="92"/>
      <c r="C77" s="39" t="s">
        <v>53</v>
      </c>
      <c r="D77" s="56"/>
      <c r="E77" s="36" t="e">
        <f>E70/E76</f>
        <v>#DIV/0!</v>
      </c>
      <c r="F77" s="5" t="s">
        <v>3</v>
      </c>
      <c r="G77" s="8"/>
      <c r="H77" s="8"/>
      <c r="I77" s="507" t="str">
        <f>IF('Tank Summary'!R26="no","The tank mixing equations are not applicable.",IF(J73&lt;J74,"Mixing is at an undesirable level, use Mixing Analysis (Section II) to determine strategies that will increase mixing.","Mixing is at a desired level."))</f>
        <v>The tank mixing equations are not applicable.</v>
      </c>
      <c r="J77" s="507"/>
      <c r="K77" s="507"/>
      <c r="L77" s="508"/>
      <c r="M77" s="8"/>
      <c r="N77" s="8"/>
      <c r="O77" s="94"/>
    </row>
    <row r="78" spans="1:20" ht="13" x14ac:dyDescent="0.3">
      <c r="B78" s="92"/>
      <c r="C78" s="39" t="s">
        <v>44</v>
      </c>
      <c r="D78" s="56"/>
      <c r="E78" s="36" t="e">
        <f>AVERAGE(I53:I67)</f>
        <v>#DIV/0!</v>
      </c>
      <c r="F78" s="5" t="s">
        <v>5</v>
      </c>
      <c r="G78" s="8"/>
      <c r="H78" s="8"/>
      <c r="I78" s="508"/>
      <c r="J78" s="508"/>
      <c r="K78" s="508"/>
      <c r="L78" s="508"/>
      <c r="M78" s="8"/>
      <c r="N78" s="8"/>
      <c r="O78" s="94"/>
    </row>
    <row r="79" spans="1:20" ht="13.5" thickBot="1" x14ac:dyDescent="0.35">
      <c r="B79" s="92"/>
      <c r="C79" s="42" t="s">
        <v>8</v>
      </c>
      <c r="D79" s="40"/>
      <c r="E79" s="54" t="e">
        <f>E78/E77</f>
        <v>#DIV/0!</v>
      </c>
      <c r="F79" s="6" t="s">
        <v>2</v>
      </c>
      <c r="G79" s="8"/>
      <c r="H79" s="8"/>
      <c r="I79" s="508"/>
      <c r="J79" s="508"/>
      <c r="K79" s="508"/>
      <c r="L79" s="508"/>
      <c r="M79" s="8"/>
      <c r="N79" s="8"/>
      <c r="O79" s="94"/>
    </row>
    <row r="80" spans="1:20" ht="12.75" customHeight="1" x14ac:dyDescent="0.3">
      <c r="B80" s="92"/>
      <c r="C80" s="93"/>
      <c r="D80" s="503" t="e">
        <f>IF(E79&gt;5, "Turnover time is at an undesirable level, use Turnover Time Analysis (Step 2) to determine operational strategies that will reduce turnover time.","Turnover Time is at a desired level.")</f>
        <v>#DIV/0!</v>
      </c>
      <c r="E80" s="503"/>
      <c r="F80" s="503"/>
      <c r="G80" s="8"/>
      <c r="H80" s="126"/>
      <c r="I80" s="508"/>
      <c r="J80" s="508"/>
      <c r="K80" s="508"/>
      <c r="L80" s="508"/>
      <c r="M80" s="8"/>
      <c r="N80" s="8"/>
      <c r="O80" s="94"/>
    </row>
    <row r="81" spans="2:15" ht="11.25" customHeight="1" x14ac:dyDescent="0.3">
      <c r="B81" s="92"/>
      <c r="C81" s="8"/>
      <c r="D81" s="504"/>
      <c r="E81" s="504"/>
      <c r="F81" s="504"/>
      <c r="G81" s="8"/>
      <c r="H81" s="126"/>
      <c r="I81" s="82"/>
      <c r="J81" s="82"/>
      <c r="K81" s="82"/>
      <c r="L81" s="82"/>
      <c r="M81" s="8"/>
      <c r="N81" s="8"/>
      <c r="O81" s="94"/>
    </row>
    <row r="82" spans="2:15" ht="12.75" customHeight="1" x14ac:dyDescent="0.25">
      <c r="B82" s="92"/>
      <c r="C82" s="8"/>
      <c r="D82" s="504"/>
      <c r="E82" s="504"/>
      <c r="F82" s="504"/>
      <c r="G82" s="8"/>
      <c r="H82" s="8"/>
      <c r="I82" s="8"/>
      <c r="J82" s="29"/>
      <c r="K82" s="29"/>
      <c r="L82" s="8"/>
      <c r="M82" s="8"/>
      <c r="N82" s="8"/>
      <c r="O82" s="94"/>
    </row>
    <row r="83" spans="2:15" ht="16.5" customHeight="1" x14ac:dyDescent="0.25">
      <c r="B83" s="92"/>
      <c r="C83" s="8"/>
      <c r="D83" s="504"/>
      <c r="E83" s="504"/>
      <c r="F83" s="504"/>
      <c r="G83" s="8"/>
      <c r="H83" s="8"/>
      <c r="I83" s="8"/>
      <c r="J83" s="29"/>
      <c r="K83" s="29"/>
      <c r="L83" s="8"/>
      <c r="M83" s="8"/>
      <c r="N83" s="8"/>
      <c r="O83" s="94"/>
    </row>
    <row r="84" spans="2:15" ht="13" thickBot="1" x14ac:dyDescent="0.3">
      <c r="B84" s="101"/>
      <c r="C84" s="102"/>
      <c r="D84" s="102"/>
      <c r="E84" s="102"/>
      <c r="F84" s="102"/>
      <c r="G84" s="102"/>
      <c r="H84" s="102"/>
      <c r="I84" s="102"/>
      <c r="J84" s="102"/>
      <c r="K84" s="102"/>
      <c r="L84" s="102"/>
      <c r="M84" s="102"/>
      <c r="N84" s="102"/>
      <c r="O84" s="103"/>
    </row>
    <row r="85" spans="2:15" ht="18.5" thickBot="1" x14ac:dyDescent="0.45">
      <c r="B85" s="116" t="s">
        <v>188</v>
      </c>
      <c r="C85" s="111"/>
      <c r="D85" s="111"/>
      <c r="E85" s="120"/>
      <c r="F85" s="121"/>
      <c r="G85" s="111"/>
      <c r="H85" s="111"/>
      <c r="I85" s="111"/>
      <c r="J85" s="111"/>
      <c r="K85" s="111"/>
      <c r="L85" s="118"/>
      <c r="M85" s="118"/>
      <c r="N85" s="118"/>
      <c r="O85" s="119"/>
    </row>
    <row r="86" spans="2:15" x14ac:dyDescent="0.25">
      <c r="B86" s="92"/>
      <c r="C86" s="29"/>
      <c r="D86" s="29"/>
      <c r="E86" s="29"/>
      <c r="F86" s="29"/>
      <c r="G86" s="29"/>
      <c r="H86" s="29"/>
      <c r="I86" s="29"/>
      <c r="J86" s="29"/>
      <c r="K86" s="29"/>
      <c r="L86" s="8"/>
      <c r="M86" s="8"/>
      <c r="N86" s="8"/>
      <c r="O86" s="94"/>
    </row>
    <row r="87" spans="2:15" ht="13" x14ac:dyDescent="0.3">
      <c r="B87" s="92"/>
      <c r="C87" s="95" t="s">
        <v>65</v>
      </c>
      <c r="D87" s="29"/>
      <c r="E87" s="29"/>
      <c r="F87" s="29"/>
      <c r="G87" s="29"/>
      <c r="H87" s="29"/>
      <c r="I87" s="29"/>
      <c r="J87" s="29"/>
      <c r="K87" s="29"/>
      <c r="L87" s="8"/>
      <c r="M87" s="8"/>
      <c r="N87" s="8"/>
      <c r="O87" s="94"/>
    </row>
    <row r="88" spans="2:15" ht="13" x14ac:dyDescent="0.3">
      <c r="B88" s="92"/>
      <c r="C88" s="95" t="s">
        <v>207</v>
      </c>
      <c r="D88" s="29"/>
      <c r="E88" s="29"/>
      <c r="F88" s="29"/>
      <c r="G88" s="29"/>
      <c r="H88" s="29"/>
      <c r="I88" s="29"/>
      <c r="J88" s="29"/>
      <c r="K88" s="29"/>
      <c r="L88" s="8"/>
      <c r="M88" s="8"/>
      <c r="N88" s="8"/>
      <c r="O88" s="94"/>
    </row>
    <row r="89" spans="2:15" ht="13" x14ac:dyDescent="0.3">
      <c r="B89" s="92"/>
      <c r="C89" s="95"/>
      <c r="D89" s="29"/>
      <c r="E89" s="29"/>
      <c r="F89" s="29"/>
      <c r="G89" s="29"/>
      <c r="H89" s="29"/>
      <c r="I89" s="29"/>
      <c r="J89" s="29"/>
      <c r="K89" s="29"/>
      <c r="L89" s="8"/>
      <c r="M89" s="8"/>
      <c r="N89" s="8"/>
      <c r="O89" s="94"/>
    </row>
    <row r="90" spans="2:15" ht="13" x14ac:dyDescent="0.3">
      <c r="B90" s="92"/>
      <c r="C90" s="95" t="s">
        <v>77</v>
      </c>
      <c r="D90" s="29"/>
      <c r="E90" s="29"/>
      <c r="F90" s="29"/>
      <c r="G90" s="29"/>
      <c r="H90" s="29"/>
      <c r="I90" s="29"/>
      <c r="J90" s="29"/>
      <c r="K90" s="29"/>
      <c r="L90" s="8"/>
      <c r="M90" s="8"/>
      <c r="N90" s="8"/>
      <c r="O90" s="94"/>
    </row>
    <row r="91" spans="2:15" ht="13" x14ac:dyDescent="0.3">
      <c r="B91" s="92"/>
      <c r="C91" s="344" t="s">
        <v>294</v>
      </c>
      <c r="D91" s="488"/>
      <c r="E91" s="488"/>
      <c r="F91" s="488"/>
      <c r="G91" s="488"/>
      <c r="H91" s="29"/>
      <c r="I91" s="29"/>
      <c r="J91" s="29"/>
      <c r="K91" s="29"/>
      <c r="L91" s="8"/>
      <c r="M91" s="8"/>
      <c r="N91" s="8"/>
      <c r="O91" s="94"/>
    </row>
    <row r="92" spans="2:15" ht="13" x14ac:dyDescent="0.3">
      <c r="B92" s="92"/>
      <c r="C92" s="95"/>
      <c r="D92" s="29"/>
      <c r="E92" s="29"/>
      <c r="F92" s="29"/>
      <c r="G92" s="29"/>
      <c r="H92" s="29"/>
      <c r="I92" s="29"/>
      <c r="J92" s="29"/>
      <c r="K92" s="29"/>
      <c r="L92" s="8"/>
      <c r="M92" s="8"/>
      <c r="N92" s="8"/>
      <c r="O92" s="94"/>
    </row>
    <row r="93" spans="2:15" ht="13" x14ac:dyDescent="0.3">
      <c r="B93" s="92"/>
      <c r="C93" s="95" t="s">
        <v>280</v>
      </c>
      <c r="D93" s="29"/>
      <c r="E93" s="29"/>
      <c r="F93" s="29"/>
      <c r="G93" s="29"/>
      <c r="H93" s="29"/>
      <c r="I93" s="29"/>
      <c r="J93" s="29"/>
      <c r="K93" s="29"/>
      <c r="L93" s="8"/>
      <c r="M93" s="8"/>
      <c r="N93" s="8"/>
      <c r="O93" s="94"/>
    </row>
    <row r="94" spans="2:15" ht="13" x14ac:dyDescent="0.3">
      <c r="B94" s="92"/>
      <c r="C94" s="95"/>
      <c r="D94" s="29"/>
      <c r="E94" s="29"/>
      <c r="F94" s="29"/>
      <c r="G94" s="29"/>
      <c r="H94" s="29"/>
      <c r="I94" s="29"/>
      <c r="J94" s="29"/>
      <c r="K94" s="29"/>
      <c r="L94" s="8"/>
      <c r="M94" s="8"/>
      <c r="N94" s="8"/>
      <c r="O94" s="94"/>
    </row>
    <row r="95" spans="2:15" ht="13" x14ac:dyDescent="0.3">
      <c r="B95" s="92"/>
      <c r="C95" s="29"/>
      <c r="D95" s="133" t="s">
        <v>27</v>
      </c>
      <c r="E95" s="81" t="s">
        <v>45</v>
      </c>
      <c r="F95" s="81" t="s">
        <v>46</v>
      </c>
      <c r="G95" s="81" t="s">
        <v>47</v>
      </c>
      <c r="H95" s="81" t="s">
        <v>48</v>
      </c>
      <c r="I95" s="81" t="s">
        <v>49</v>
      </c>
      <c r="J95" s="29"/>
      <c r="K95" s="29"/>
      <c r="L95" s="8"/>
      <c r="M95" s="8"/>
      <c r="N95" s="8"/>
      <c r="O95" s="94"/>
    </row>
    <row r="96" spans="2:15" ht="13" x14ac:dyDescent="0.3">
      <c r="B96" s="92"/>
      <c r="C96" s="122" t="str">
        <f>IF(OR($D$7="c",D7="h"), "Tank diameter", IF($D$7="r","Longest Sidewall Length",""))</f>
        <v/>
      </c>
      <c r="D96" s="31">
        <f>'Tank#7'!D10</f>
        <v>0</v>
      </c>
      <c r="E96" s="66">
        <f>$D$96</f>
        <v>0</v>
      </c>
      <c r="F96" s="66">
        <f>$D$96</f>
        <v>0</v>
      </c>
      <c r="G96" s="66">
        <f>$D$96</f>
        <v>0</v>
      </c>
      <c r="H96" s="66">
        <f>$D$96</f>
        <v>0</v>
      </c>
      <c r="I96" s="66">
        <f>$D$96</f>
        <v>0</v>
      </c>
      <c r="J96" s="95" t="str">
        <f>IF(D8="y","","ft")</f>
        <v>ft</v>
      </c>
      <c r="K96" s="95"/>
      <c r="L96" s="8"/>
      <c r="M96" s="8"/>
      <c r="N96" s="8"/>
      <c r="O96" s="94"/>
    </row>
    <row r="97" spans="2:15" ht="13" x14ac:dyDescent="0.3">
      <c r="B97" s="92"/>
      <c r="C97" s="95" t="str">
        <f>IF(OR($D$7="c",D7="h"),"",IF($D$7="r","Shortest Sidewall Length",""))</f>
        <v/>
      </c>
      <c r="D97" s="33">
        <f>'Tank#7'!D11</f>
        <v>0</v>
      </c>
      <c r="E97" s="66">
        <f>$D$97</f>
        <v>0</v>
      </c>
      <c r="F97" s="66">
        <f>$D$97</f>
        <v>0</v>
      </c>
      <c r="G97" s="66">
        <f>$D$97</f>
        <v>0</v>
      </c>
      <c r="H97" s="66">
        <f>$D$97</f>
        <v>0</v>
      </c>
      <c r="I97" s="66">
        <f>$D$97</f>
        <v>0</v>
      </c>
      <c r="J97" s="95" t="str">
        <f>IF(D8="y","","ft")</f>
        <v>ft</v>
      </c>
      <c r="K97" s="95"/>
      <c r="L97" s="8"/>
      <c r="M97" s="8"/>
      <c r="N97" s="8"/>
      <c r="O97" s="94"/>
    </row>
    <row r="98" spans="2:15" ht="13" x14ac:dyDescent="0.3">
      <c r="B98" s="92"/>
      <c r="C98" s="346" t="s">
        <v>30</v>
      </c>
      <c r="D98" s="124">
        <f>'Tank#7'!D13</f>
        <v>0</v>
      </c>
      <c r="E98" s="345"/>
      <c r="F98" s="345"/>
      <c r="G98" s="345"/>
      <c r="H98" s="345"/>
      <c r="I98" s="345"/>
      <c r="J98" s="95" t="s">
        <v>1</v>
      </c>
      <c r="K98" s="95"/>
      <c r="L98" s="8"/>
      <c r="M98" s="8"/>
      <c r="N98" s="8"/>
      <c r="O98" s="94"/>
    </row>
    <row r="99" spans="2:15" ht="13" x14ac:dyDescent="0.3">
      <c r="B99" s="92"/>
      <c r="C99" s="346" t="str">
        <f>IF(D8="y","Fraction Full (Max Level)","High/Max Level")</f>
        <v>High/Max Level</v>
      </c>
      <c r="D99" s="80" t="b">
        <f>IF(OR($D$7="c",$D$7="r",$D$7="h"),(SUM(E53:E67)/COUNTIF(E53:E67,"&gt;0")),IF($D$8="y",(SUM(E53:E67)/COUNTIF(E53:E67,"&gt;0"))/($D$6*10^6)))</f>
        <v>0</v>
      </c>
      <c r="E99" s="345"/>
      <c r="F99" s="345"/>
      <c r="G99" s="345"/>
      <c r="H99" s="345"/>
      <c r="I99" s="345"/>
      <c r="J99" s="95" t="str">
        <f>IF(D8="y","","ft")</f>
        <v>ft</v>
      </c>
      <c r="K99" s="95"/>
      <c r="L99" s="8"/>
      <c r="M99" s="8"/>
      <c r="N99" s="8"/>
      <c r="O99" s="94"/>
    </row>
    <row r="100" spans="2:15" ht="13" x14ac:dyDescent="0.3">
      <c r="B100" s="92"/>
      <c r="C100" s="346" t="str">
        <f>IF(D8="y","Fraction Full (Min Level)","Low/Min Level")</f>
        <v>Low/Min Level</v>
      </c>
      <c r="D100" s="80" t="b">
        <f>IF(OR($D$7="c",$D$7="r",$D$7="s",$D$7="h"),(SUM(D53:D67)/COUNTIF(D53:D67,"&gt;0")),IF($D$8="y",(SUM(D53:D67)/COUNTIF(D53:D67,"&gt;0"))/($D$6*10^6)))</f>
        <v>0</v>
      </c>
      <c r="E100" s="345"/>
      <c r="F100" s="345"/>
      <c r="G100" s="345"/>
      <c r="H100" s="345"/>
      <c r="I100" s="345"/>
      <c r="J100" s="95" t="str">
        <f>IF(D8="y","","ft")</f>
        <v>ft</v>
      </c>
      <c r="K100" s="95"/>
      <c r="L100" s="8"/>
      <c r="M100" s="8"/>
      <c r="N100" s="8"/>
      <c r="O100" s="94"/>
    </row>
    <row r="101" spans="2:15" ht="15.5" x14ac:dyDescent="0.35">
      <c r="B101" s="92"/>
      <c r="C101" s="125" t="str">
        <f>IF(OR(D7="c", D7="r",D7="h"),"H/D ratio","")</f>
        <v/>
      </c>
      <c r="D101" s="490" t="str">
        <f t="shared" ref="D101:I101" si="10">IF(OR($D$7="c", $D$7="r",$D$7="h"),D99/D96,"")</f>
        <v/>
      </c>
      <c r="E101" s="124" t="str">
        <f t="shared" si="10"/>
        <v/>
      </c>
      <c r="F101" s="124" t="str">
        <f t="shared" si="10"/>
        <v/>
      </c>
      <c r="G101" s="124" t="str">
        <f t="shared" si="10"/>
        <v/>
      </c>
      <c r="H101" s="124" t="str">
        <f t="shared" si="10"/>
        <v/>
      </c>
      <c r="I101" s="124" t="str">
        <f t="shared" si="10"/>
        <v/>
      </c>
      <c r="J101" s="134"/>
      <c r="K101" s="148"/>
      <c r="L101" s="8"/>
      <c r="M101" s="8"/>
      <c r="N101" s="8"/>
      <c r="O101" s="94"/>
    </row>
    <row r="102" spans="2:15" ht="13" x14ac:dyDescent="0.3">
      <c r="B102" s="92"/>
      <c r="C102" s="123" t="str">
        <f>IF(D8="y","Actual Vol Change","Actual Level Change")</f>
        <v>Actual Level Change</v>
      </c>
      <c r="D102" s="124" t="e">
        <f>'Tank#7'!J73</f>
        <v>#DIV/0!</v>
      </c>
      <c r="E102" s="80" t="str">
        <f>IF(OR($D$7="c",$D$7="h",$D$7="r"),E99-E100,IF($D$8="y",($D$6*10^6)*(E99-E100),""))</f>
        <v/>
      </c>
      <c r="F102" s="80" t="str">
        <f>IF(OR($D$7="c",$D$7="h",$D$7="r"),F99-F100,IF($D$8="y",($D$6*10^6)*(F99-F100),""))</f>
        <v/>
      </c>
      <c r="G102" s="80" t="str">
        <f>IF(OR($D$7="c",$D$7="h",$D$7="r"),G99-G100,IF($D$8="y",($D$6*10^6)*(G99-G100),""))</f>
        <v/>
      </c>
      <c r="H102" s="80" t="str">
        <f>IF(OR($D$7="c",$D$7="h",$D$7="r"),H99-H100,IF($D$8="y",($D$6*10^6)*(H99-H100),""))</f>
        <v/>
      </c>
      <c r="I102" s="80" t="str">
        <f>IF(OR($D$7="c",$D$7="h",$D$7="r"),I99-I100,IF($D$8="y",($D$6*10^6)*(I99-I100),""))</f>
        <v/>
      </c>
      <c r="J102" s="95" t="str">
        <f>IF(OR(D7="c",D7="r"),"ft",IF(AND(D7="n",D8="y"),"gal",""))</f>
        <v/>
      </c>
      <c r="K102" s="95"/>
      <c r="L102" s="8"/>
      <c r="M102" s="8"/>
      <c r="N102" s="8"/>
      <c r="O102" s="94"/>
    </row>
    <row r="103" spans="2:15" ht="13" x14ac:dyDescent="0.3">
      <c r="B103" s="92"/>
      <c r="C103" s="123" t="s">
        <v>94</v>
      </c>
      <c r="D103" s="494" t="e">
        <f>IF('Tank Summary'!$K$16="y",IF((D99/$D$10)&lt;=1,10.2,(3.58*(D99/$D$10)+6.66)),"Tank mixing equations do not apply")</f>
        <v>#DIV/0!</v>
      </c>
      <c r="E103" s="494" t="e">
        <f>IF('Tank Summary'!$K$16="y",IF((E99/$D$10)&lt;=1,10.2,(3.58*(E99/$D$10)+6.66)),"Tank mixing equations do not apply")</f>
        <v>#DIV/0!</v>
      </c>
      <c r="F103" s="494" t="e">
        <f>IF('Tank Summary'!$K$16="y",IF((F99/$D$10)&lt;=1,10.2,(3.58*(F99/$D$10)+6.66)),"Tank mixing equations do not apply")</f>
        <v>#DIV/0!</v>
      </c>
      <c r="G103" s="494" t="e">
        <f>IF('Tank Summary'!$K$16="y",IF((G99/$D$10)&lt;=1,10.2,(3.58*(G99/$D$10)+6.66)),"Tank mixing equations do not apply")</f>
        <v>#DIV/0!</v>
      </c>
      <c r="H103" s="494" t="e">
        <f>IF('Tank Summary'!$K$16="y",IF((H99/$D$10)&lt;=1,10.2,(3.58*(H99/$D$10)+6.66)),"Tank mixing equations do not apply")</f>
        <v>#DIV/0!</v>
      </c>
      <c r="I103" s="494" t="e">
        <f>IF('Tank Summary'!$K$16="y",IF((I99/$D$10)&lt;=1,10.2,(3.58*(I99/$D$10)+6.66)),"Tank mixing equations do not apply")</f>
        <v>#DIV/0!</v>
      </c>
      <c r="J103" s="95"/>
      <c r="K103" s="95"/>
      <c r="L103" s="8"/>
      <c r="M103" s="8"/>
      <c r="N103" s="8"/>
      <c r="O103" s="94"/>
    </row>
    <row r="104" spans="2:15" ht="26" x14ac:dyDescent="0.3">
      <c r="B104" s="92"/>
      <c r="C104" s="123" t="str">
        <f>IF(D8="y","Desired Vol Change Needed for Good Mixing","Desired Level Change Needed for Good Mixing")</f>
        <v>Desired Level Change Needed for Good Mixing</v>
      </c>
      <c r="D104" s="124" t="e">
        <f>'Tank#7'!J74</f>
        <v>#DIV/0!</v>
      </c>
      <c r="E104" s="80" t="str">
        <f>IF(OR($D$7="c",$D$7="h"),(((E103/1.13)*E98)/((E100*PI()*(E96/2)^2)^(1/3)))*E100,IF($D$7="r",(((E103/1.13)*E98)/((E100*E96*E97)^(1/3)))*E100,IF($D$8="y",(((E103/1.13)*E98)/(((E100*$D$6*10^6)/7.480519)^(1/3)))*(E100*$D$6*10^6),"")))</f>
        <v/>
      </c>
      <c r="F104" s="80" t="str">
        <f>IF(OR($D$7="c",$D$7="h"),(((F103/1.13)*F98)/((F100*PI()*(F96/2)^2)^(1/3)))*F100,IF($D$7="r",(((F103/1.13)*F98)/((F100*F96*F97)^(1/3)))*F100,IF($D$8="y",(((F103/1.13)*F98)/(((F100*$D$6*10^6)/7.480519)^(1/3)))*(F100*$D$6*10^6),"")))</f>
        <v/>
      </c>
      <c r="G104" s="80" t="str">
        <f>IF(OR($D$7="c",$D$7="h"),(((G103/1.13)*G98)/((G100*PI()*(G96/2)^2)^(1/3)))*G100,IF($D$7="r",(((G103/1.13)*G98)/((G100*G96*G97)^(1/3)))*G100,IF($D$8="y",(((G103/1.13)*G98)/(((G100*$D$6*10^6)/7.480519)^(1/3)))*(G100*$D$6*10^6),"")))</f>
        <v/>
      </c>
      <c r="H104" s="80" t="str">
        <f>IF(OR($D$7="c",$D$7="h"),(((H103/1.13)*H98)/((H100*PI()*(H96/2)^2)^(1/3)))*H100,IF($D$7="r",(((H103/1.13)*H98)/((H100*H96*H97)^(1/3)))*H100,IF($D$8="y",(((H103/1.13)*H98)/(((H100*$D$6*10^6)/7.480519)^(1/3)))*(H100*$D$6*10^6),"")))</f>
        <v/>
      </c>
      <c r="I104" s="80" t="str">
        <f>IF(OR($D$7="c",$D$7="h"),(((I103/1.13)*I98)/((I100*PI()*(I96/2)^2)^(1/3)))*I100,IF($D$7="r",(((I103/1.13)*I98)/((I100*I96*I97)^(1/3)))*I100,IF($D$8="y",(((I103/1.13)*I98)/(((I100*$D$6*10^6)/7.480519)^(1/3)))*(I100*$D$6*10^6),"")))</f>
        <v/>
      </c>
      <c r="J104" s="95" t="str">
        <f>IF(OR(D7="c",D7="r"),"ft",IF(AND(D7="n",D8="y"),"gal",""))</f>
        <v/>
      </c>
      <c r="K104" s="95"/>
      <c r="L104" s="8"/>
      <c r="M104" s="8"/>
      <c r="N104" s="8"/>
      <c r="O104" s="94"/>
    </row>
    <row r="105" spans="2:15" ht="39" customHeight="1" x14ac:dyDescent="0.3">
      <c r="B105" s="92"/>
      <c r="C105" s="105" t="str">
        <f>IF(D8="y","","Pressure Drop After Change in Min Water Level")</f>
        <v>Pressure Drop After Change in Min Water Level</v>
      </c>
      <c r="D105" s="12"/>
      <c r="E105" s="12">
        <f>IF($D$8="y","",($D$100-E100)/2.31)</f>
        <v>0</v>
      </c>
      <c r="F105" s="12">
        <f>IF($D$8="y","",($D$100-F100)/2.31)</f>
        <v>0</v>
      </c>
      <c r="G105" s="12">
        <f>IF($D$8="y","",($D$100-G100)/2.31)</f>
        <v>0</v>
      </c>
      <c r="H105" s="12">
        <f>IF($D$8="y","",($D$100-H100)/2.31)</f>
        <v>0</v>
      </c>
      <c r="I105" s="12">
        <f>IF($D$8="y","",($D$100-I100)/2.31)</f>
        <v>0</v>
      </c>
      <c r="J105" s="95" t="str">
        <f>IF(OR(D7="c",D7="r",D7="h"),"psi",IF(AND(D7="n",D8="y"),"",""))</f>
        <v/>
      </c>
      <c r="K105" s="95"/>
      <c r="L105" s="8"/>
      <c r="M105" s="8"/>
      <c r="N105" s="8"/>
      <c r="O105" s="94"/>
    </row>
    <row r="106" spans="2:15" ht="13" x14ac:dyDescent="0.3">
      <c r="B106" s="92"/>
      <c r="C106" s="123" t="s">
        <v>287</v>
      </c>
      <c r="D106" s="33" t="e">
        <f>'Tank#7'!E74</f>
        <v>#DIV/0!</v>
      </c>
      <c r="E106" s="33" t="e">
        <f>D106</f>
        <v>#DIV/0!</v>
      </c>
      <c r="F106" s="33" t="e">
        <f>E106</f>
        <v>#DIV/0!</v>
      </c>
      <c r="G106" s="33" t="e">
        <f>F106</f>
        <v>#DIV/0!</v>
      </c>
      <c r="H106" s="159" t="e">
        <f>G106</f>
        <v>#DIV/0!</v>
      </c>
      <c r="I106" s="159" t="e">
        <f>H106</f>
        <v>#DIV/0!</v>
      </c>
      <c r="J106" s="95" t="s">
        <v>26</v>
      </c>
      <c r="K106" s="95"/>
      <c r="L106" s="8"/>
      <c r="M106" s="8"/>
      <c r="N106" s="8"/>
      <c r="O106" s="94"/>
    </row>
    <row r="107" spans="2:15" ht="26" x14ac:dyDescent="0.3">
      <c r="B107" s="92"/>
      <c r="C107" s="105" t="s">
        <v>286</v>
      </c>
      <c r="D107" s="33" t="e">
        <f>'Tank#7'!E75</f>
        <v>#DIV/0!</v>
      </c>
      <c r="E107" s="33" t="e">
        <f>D107</f>
        <v>#DIV/0!</v>
      </c>
      <c r="F107" s="33" t="e">
        <f>D107</f>
        <v>#DIV/0!</v>
      </c>
      <c r="G107" s="33" t="e">
        <f>D107</f>
        <v>#DIV/0!</v>
      </c>
      <c r="H107" s="159" t="e">
        <f>D107</f>
        <v>#DIV/0!</v>
      </c>
      <c r="I107" s="159" t="e">
        <f>D107</f>
        <v>#DIV/0!</v>
      </c>
      <c r="J107" s="95" t="s">
        <v>26</v>
      </c>
      <c r="K107" s="95"/>
      <c r="L107" s="8"/>
      <c r="M107" s="8"/>
      <c r="N107" s="8"/>
      <c r="O107" s="94"/>
    </row>
    <row r="108" spans="2:15" ht="13" x14ac:dyDescent="0.3">
      <c r="B108" s="92"/>
      <c r="C108" s="123" t="s">
        <v>36</v>
      </c>
      <c r="D108" s="11" t="e">
        <f>'Tank#7'!E72</f>
        <v>#DIV/0!</v>
      </c>
      <c r="E108" s="11" t="e">
        <f>ROUND(IF(OR($D$7="c",$D$7="h"),(E99-E100)*PI()*((E96/2)^2)*7.480519/(E106*24*60),IF($D$7="r",(E99-E100)*E96*E97*7.480519/(E106*24*60),IF($D$8="y",((E99*$D$6*10^6)-(E100*$D$6*10^6))/(E106*24*60),""))),2)</f>
        <v>#VALUE!</v>
      </c>
      <c r="F108" s="11" t="e">
        <f>ROUND(IF(OR($D$7="c",$D$7="h"),(F99-F100)*PI()*((F96/2)^2)*7.480519/(F106*24*60),IF($D$7="r",(F99-F100)*F96*F97*7.480519/(F106*24*60),IF($D$8="y",((F99*$D$6*10^6)-(F100*$D$6*10^6))/(F106*24*60),""))),2)</f>
        <v>#VALUE!</v>
      </c>
      <c r="G108" s="11" t="e">
        <f>ROUND(IF(OR($D$7="c",$D$7="h"),(G99-G100)*PI()*((G96/2)^2)*7.480519/(G106*24*60),IF($D$7="r",(G99-G100)*G96*G97*7.480519/(G106*24*60),IF($D$8="y",((G99*$D$6*10^6)-(G100*$D$6*10^6))/(G106*24*60),""))),2)</f>
        <v>#VALUE!</v>
      </c>
      <c r="H108" s="11" t="e">
        <f>ROUND(IF(OR($D$7="c",$D$7="h"),(H99-H100)*PI()*((H96/2)^2)*7.480519/(H106*24*60),IF($D$7="r",(H99-H100)*H96*H97*7.480519/(H106*24*60),IF($D$8="y",((H99*$D$6*10^6)-(H100*$D$6*10^6))/(H106*24*60),""))),2)</f>
        <v>#VALUE!</v>
      </c>
      <c r="I108" s="11" t="e">
        <f>ROUND(IF(OR($D$7="c",$D$7="h"),(I99-I100)*PI()*((I96/2)^2)*7.480519/(I106*24*60),IF($D$7="r",(I99-I100)*I96*I97*7.480519/(I106*24*60),IF($D$8="y",((I99*$D$6*10^6)-(I100*$D$6*10^6))/(I106*24*60),""))),2)</f>
        <v>#VALUE!</v>
      </c>
      <c r="J108" s="95" t="s">
        <v>2</v>
      </c>
      <c r="K108" s="95"/>
      <c r="L108" s="8"/>
      <c r="M108" s="8"/>
      <c r="N108" s="8"/>
      <c r="O108" s="94"/>
    </row>
    <row r="109" spans="2:15" ht="13" x14ac:dyDescent="0.3">
      <c r="B109" s="92"/>
      <c r="C109" s="105" t="s">
        <v>37</v>
      </c>
      <c r="D109" s="11" t="e">
        <f>'Tank#7'!E73</f>
        <v>#DIV/0!</v>
      </c>
      <c r="E109" s="11" t="e">
        <f>ROUND(IF(OR($D$7="c",$D$7="h"),(E99-E100)*PI()*((E96/2)^2)*7.480519/(E107*24*60),IF($D$7="r",(E99-E100)*E96*E97*7.480519/(E107*24*60),IF($D$8="y",((E99*$D$6*10^6)-(E100*$D$6*10^6))/(E107*24*60),""))),2)</f>
        <v>#VALUE!</v>
      </c>
      <c r="F109" s="11" t="e">
        <f>ROUND(IF(OR($D$7="c",$D$7="h"),(F99-F100)*PI()*((F96/2)^2)*7.480519/(F107*24*60),IF($D$7="r",(F99-F100)*F96*F97*7.480519/(F107*24*60),IF($D$8="y",((F99*$D$6*10^6)-(F100*$D$6*10^6))/(F107*24*60),""))),2)</f>
        <v>#VALUE!</v>
      </c>
      <c r="G109" s="11" t="e">
        <f>ROUND(IF(OR($D$7="c",$D$7="h"),(G99-G100)*PI()*((G96/2)^2)*7.480519/(G107*24*60),IF($D$7="r",(G99-G100)*G96*G97*7.480519/(G107*24*60),IF($D$8="y",((G99*$D$6*10^6)-(G100*$D$6*10^6))/(G107*24*60),""))),2)</f>
        <v>#VALUE!</v>
      </c>
      <c r="H109" s="11" t="e">
        <f>ROUND(IF(OR($D$7="c",$D$7="h"),(H99-H100)*PI()*((H96/2)^2)*7.480519/(H107*24*60),IF($D$7="r",(H99-H100)*H96*H97*7.480519/(H107*24*60),IF($D$8="y",((H99*$D$6*10^6)-(H100*$D$6*10^6))/(H107*24*60),""))),2)</f>
        <v>#VALUE!</v>
      </c>
      <c r="I109" s="11" t="e">
        <f>ROUND(IF(OR($D$7="c",$D$7="h"),(I99-I100)*PI()*((I96/2)^2)*7.480519/(I107*24*60),IF($D$7="r",(I99-I100)*I96*I97*7.480519/(I107*24*60),IF($D$8="y",((I99*$D$6*10^6)-(I100*$D$6*10^6))/(I107*24*60),""))),2)</f>
        <v>#VALUE!</v>
      </c>
      <c r="J109" s="95" t="s">
        <v>2</v>
      </c>
      <c r="K109" s="95"/>
      <c r="L109" s="8"/>
      <c r="M109" s="8"/>
      <c r="N109" s="8"/>
      <c r="O109" s="94"/>
    </row>
    <row r="110" spans="2:15" ht="26" x14ac:dyDescent="0.3">
      <c r="B110" s="92"/>
      <c r="C110" s="123" t="s">
        <v>288</v>
      </c>
      <c r="D110" s="11" t="e">
        <f>'Tank#7'!E70</f>
        <v>#DIV/0!</v>
      </c>
      <c r="E110" s="11" t="str">
        <f>IF(OR($D$7="c",$D$7="h"),(E99-E100)*PI()*((E96/2)^2)*7.480519/10^6,IF($D$7="r",(E99-E100)*E96*E97*7.480519/10^6,IF($D$8="y",((E99*$D$6*10^6)-(E100*$D$6*10^6))/10^6,"")))</f>
        <v/>
      </c>
      <c r="F110" s="11" t="str">
        <f>IF(OR($D$7="c",$D$7="h"),(F99-F100)*PI()*((F96/2)^2)*7.480519/10^6,IF($D$7="r",(F99-F100)*F96*F97*7.480519/10^6,IF($D$8="y",((F99*$D$6*10^6)-(F100*$D$6*10^6))/10^6,"")))</f>
        <v/>
      </c>
      <c r="G110" s="11" t="str">
        <f>IF(OR($D$7="c",$D$7="h"),(G99-G100)*PI()*((G96/2)^2)*7.480519/10^6,IF($D$7="r",(G99-G100)*G96*G97*7.480519/10^6,IF($D$8="y",((G99*$D$6*10^6)-(G100*$D$6*10^6))/10^6,"")))</f>
        <v/>
      </c>
      <c r="H110" s="11" t="str">
        <f>IF(OR($D$7="c",$D$7="h"),(H99-H100)*PI()*((H96/2)^2)*7.480519/10^6,IF($D$7="r",(H99-H100)*H96*H97*7.480519/10^6,IF($D$8="y",((H99*$D$6*10^6)-(H100*$D$6*10^6))/10^6,"")))</f>
        <v/>
      </c>
      <c r="I110" s="11" t="str">
        <f>IF(OR($D$7="c",$D$7="h"),(I99-I100)*PI()*((I96/2)^2)*7.480519/10^6,IF($D$7="r",(I99-I100)*I96*I97*7.480519/10^6,IF($D$8="y",((I99*$D$6*10^6)-(I100*$D$6*10^6))/10^6,"")))</f>
        <v/>
      </c>
      <c r="J110" s="95" t="s">
        <v>5</v>
      </c>
      <c r="K110" s="95"/>
      <c r="L110" s="8"/>
      <c r="M110" s="8"/>
      <c r="N110" s="8"/>
      <c r="O110" s="94"/>
    </row>
    <row r="111" spans="2:15" ht="13" x14ac:dyDescent="0.3">
      <c r="B111" s="92"/>
      <c r="C111" s="105" t="s">
        <v>52</v>
      </c>
      <c r="D111" s="11" t="e">
        <f>'Tank#7'!E76</f>
        <v>#DIV/0!</v>
      </c>
      <c r="E111" s="11" t="e">
        <f>E109+E108</f>
        <v>#VALUE!</v>
      </c>
      <c r="F111" s="11" t="e">
        <f>F109+F108</f>
        <v>#VALUE!</v>
      </c>
      <c r="G111" s="11" t="e">
        <f>G109+G108</f>
        <v>#VALUE!</v>
      </c>
      <c r="H111" s="11" t="e">
        <f>H109+H108</f>
        <v>#VALUE!</v>
      </c>
      <c r="I111" s="11" t="e">
        <f>I109+I108</f>
        <v>#VALUE!</v>
      </c>
      <c r="J111" s="95" t="s">
        <v>2</v>
      </c>
      <c r="K111" s="95"/>
      <c r="L111" s="8"/>
      <c r="M111" s="8"/>
      <c r="N111" s="8"/>
      <c r="O111" s="94"/>
    </row>
    <row r="112" spans="2:15" ht="13" x14ac:dyDescent="0.3">
      <c r="B112" s="92"/>
      <c r="C112" s="123" t="s">
        <v>289</v>
      </c>
      <c r="D112" s="11" t="e">
        <f>'Tank#7'!$E$77</f>
        <v>#DIV/0!</v>
      </c>
      <c r="E112" s="32" t="e">
        <f>E110/E111</f>
        <v>#VALUE!</v>
      </c>
      <c r="F112" s="32" t="e">
        <f>F110/F111</f>
        <v>#VALUE!</v>
      </c>
      <c r="G112" s="32" t="e">
        <f>G110/G111</f>
        <v>#VALUE!</v>
      </c>
      <c r="H112" s="32" t="e">
        <f>H110/H111</f>
        <v>#VALUE!</v>
      </c>
      <c r="I112" s="32" t="e">
        <f>I110/I111</f>
        <v>#VALUE!</v>
      </c>
      <c r="J112" s="95" t="s">
        <v>3</v>
      </c>
      <c r="K112" s="95"/>
      <c r="L112" s="8"/>
      <c r="M112" s="8"/>
      <c r="N112" s="8"/>
      <c r="O112" s="94"/>
    </row>
    <row r="113" spans="2:15" ht="13" x14ac:dyDescent="0.3">
      <c r="B113" s="92"/>
      <c r="C113" s="105" t="s">
        <v>44</v>
      </c>
      <c r="D113" s="11" t="e">
        <f>'Tank#7'!$E$78</f>
        <v>#DIV/0!</v>
      </c>
      <c r="E113" s="32" t="str">
        <f>IF(OR($D$7="c",$D$7="h"),((E99+E100)/2)*PI()*((E96/2)^2)*7.480519/10^6,IF($D$7="r",((E99+E100)/2)*E96*E97*7.480519/10^6,IF($D$8="y",(((E99*$D$6*10^6)+(E100*$D$6*10^6))/2)/10^6,"")))</f>
        <v/>
      </c>
      <c r="F113" s="32" t="str">
        <f>IF(OR($D$7="c",$D$7="h"),((F99+F100)/2)*PI()*((F96/2)^2)*7.480519/10^6,IF($D$7="r",((F99+F100)/2)*F96*F97*7.480519/10^6,IF($D$8="y",(((F99*$D$6*10^6)+(F100*$D$6*10^6))/2)/10^6,"")))</f>
        <v/>
      </c>
      <c r="G113" s="32" t="str">
        <f>IF(OR($D$7="c",$D$7="h"),((G99+G100)/2)*PI()*((G96/2)^2)*7.480519/10^6,IF($D$7="r",((G99+G100)/2)*G96*G97*7.480519/10^6,IF($D$8="y",(((G99*$D$6*10^6)+(G100*$D$6*10^6))/2)/10^6,"")))</f>
        <v/>
      </c>
      <c r="H113" s="32" t="str">
        <f>IF(OR($D$7="c",$D$7="h"),((H99+H100)/2)*PI()*((H96/2)^2)*7.480519/10^6,IF($D$7="r",((H99+H100)/2)*H96*H97*7.480519/10^6,IF($D$8="y",(((H99*$D$6*10^6)+(H100*$D$6*10^6))/2)/10^6,"")))</f>
        <v/>
      </c>
      <c r="I113" s="32" t="str">
        <f>IF(OR($D$7="c",$D$7="h"),((I99+I100)/2)*PI()*((I96/2)^2)*7.480519/10^6,IF($D$7="r",((I99+I100)/2)*I96*I97*7.480519/10^6,IF($D$8="y",(((I99*$D$6*10^6)+(I100*$D$6*10^6))/2)/10^6,"")))</f>
        <v/>
      </c>
      <c r="J113" s="95" t="s">
        <v>5</v>
      </c>
      <c r="K113" s="95"/>
      <c r="L113" s="8"/>
      <c r="M113" s="8"/>
      <c r="N113" s="8"/>
      <c r="O113" s="94"/>
    </row>
    <row r="114" spans="2:15" ht="26" x14ac:dyDescent="0.3">
      <c r="B114" s="92"/>
      <c r="C114" s="137" t="s">
        <v>57</v>
      </c>
      <c r="D114" s="138" t="e">
        <f>'Tank#7'!J75</f>
        <v>#DIV/0!</v>
      </c>
      <c r="E114" s="139" t="e">
        <f>E102/E104</f>
        <v>#VALUE!</v>
      </c>
      <c r="F114" s="139" t="e">
        <f>F102/F104</f>
        <v>#VALUE!</v>
      </c>
      <c r="G114" s="139" t="e">
        <f>G102/G104</f>
        <v>#VALUE!</v>
      </c>
      <c r="H114" s="139" t="e">
        <f>H102/H104</f>
        <v>#VALUE!</v>
      </c>
      <c r="I114" s="139" t="e">
        <f>I102/I104</f>
        <v>#VALUE!</v>
      </c>
      <c r="J114" s="95"/>
      <c r="K114" s="95"/>
      <c r="L114" s="8"/>
      <c r="M114" s="8"/>
      <c r="N114" s="8"/>
      <c r="O114" s="94"/>
    </row>
    <row r="115" spans="2:15" ht="13" x14ac:dyDescent="0.3">
      <c r="B115" s="92"/>
      <c r="C115" s="137" t="s">
        <v>8</v>
      </c>
      <c r="D115" s="140" t="e">
        <f>'Tank#7'!$E$79</f>
        <v>#DIV/0!</v>
      </c>
      <c r="E115" s="140" t="e">
        <f>E113/E112</f>
        <v>#VALUE!</v>
      </c>
      <c r="F115" s="140" t="e">
        <f>F113/F112</f>
        <v>#VALUE!</v>
      </c>
      <c r="G115" s="140" t="e">
        <f>G113/G112</f>
        <v>#VALUE!</v>
      </c>
      <c r="H115" s="140" t="e">
        <f>H113/H112</f>
        <v>#VALUE!</v>
      </c>
      <c r="I115" s="140" t="e">
        <f>I113/I112</f>
        <v>#VALUE!</v>
      </c>
      <c r="J115" s="95" t="s">
        <v>2</v>
      </c>
      <c r="K115" s="95"/>
      <c r="L115" s="8"/>
      <c r="M115" s="8"/>
      <c r="N115" s="8"/>
      <c r="O115" s="94"/>
    </row>
    <row r="116" spans="2:15" ht="13.5" thickBot="1" x14ac:dyDescent="0.35">
      <c r="B116" s="101"/>
      <c r="C116" s="102"/>
      <c r="D116" s="102"/>
      <c r="E116" s="102"/>
      <c r="F116" s="102"/>
      <c r="G116" s="106"/>
      <c r="H116" s="106"/>
      <c r="I116" s="107"/>
      <c r="J116" s="102"/>
      <c r="K116" s="102"/>
      <c r="L116" s="102"/>
      <c r="M116" s="102"/>
      <c r="N116" s="102"/>
      <c r="O116" s="103"/>
    </row>
    <row r="117" spans="2:15" ht="18.5" hidden="1" thickBot="1" x14ac:dyDescent="0.45">
      <c r="B117" s="116" t="s">
        <v>191</v>
      </c>
      <c r="C117" s="111"/>
      <c r="D117" s="120"/>
      <c r="E117" s="111"/>
      <c r="F117" s="111"/>
      <c r="G117" s="111"/>
      <c r="H117" s="111"/>
      <c r="I117" s="111"/>
      <c r="J117" s="111"/>
      <c r="K117" s="111"/>
      <c r="L117" s="118"/>
      <c r="M117" s="118"/>
      <c r="N117" s="118"/>
      <c r="O117" s="119"/>
    </row>
    <row r="118" spans="2:15" hidden="1" x14ac:dyDescent="0.25">
      <c r="B118" s="149"/>
      <c r="C118" s="104"/>
      <c r="D118" s="104"/>
      <c r="E118" s="104"/>
      <c r="F118" s="104"/>
      <c r="G118" s="104"/>
      <c r="H118" s="104"/>
      <c r="I118" s="104"/>
      <c r="J118" s="104"/>
      <c r="K118" s="104"/>
      <c r="L118" s="90"/>
      <c r="M118" s="90"/>
      <c r="N118" s="90"/>
      <c r="O118" s="91"/>
    </row>
    <row r="119" spans="2:15" ht="13" hidden="1" x14ac:dyDescent="0.3">
      <c r="B119" s="92"/>
      <c r="C119" s="95" t="s">
        <v>86</v>
      </c>
      <c r="D119" s="29"/>
      <c r="E119" s="29"/>
      <c r="F119" s="29"/>
      <c r="G119" s="29"/>
      <c r="H119" s="29"/>
      <c r="I119" s="29"/>
      <c r="J119" s="29"/>
      <c r="K119" s="29"/>
      <c r="L119" s="8"/>
      <c r="M119" s="8"/>
      <c r="N119" s="8"/>
      <c r="O119" s="94"/>
    </row>
    <row r="120" spans="2:15" ht="13" hidden="1" x14ac:dyDescent="0.3">
      <c r="B120" s="92"/>
      <c r="C120" s="95" t="s">
        <v>88</v>
      </c>
      <c r="D120" s="29"/>
      <c r="E120" s="29"/>
      <c r="F120" s="29"/>
      <c r="G120" s="29"/>
      <c r="H120" s="29"/>
      <c r="I120" s="29"/>
      <c r="J120" s="29"/>
      <c r="K120" s="29"/>
      <c r="L120" s="8"/>
      <c r="M120" s="8"/>
      <c r="N120" s="8"/>
      <c r="O120" s="94"/>
    </row>
    <row r="121" spans="2:15" ht="13" hidden="1" x14ac:dyDescent="0.3">
      <c r="B121" s="92"/>
      <c r="C121" s="95" t="s">
        <v>89</v>
      </c>
      <c r="D121" s="29"/>
      <c r="E121" s="29"/>
      <c r="F121" s="29"/>
      <c r="G121" s="29"/>
      <c r="H121" s="29"/>
      <c r="I121" s="29"/>
      <c r="J121" s="29"/>
      <c r="K121" s="29"/>
      <c r="L121" s="8"/>
      <c r="M121" s="8"/>
      <c r="N121" s="8"/>
      <c r="O121" s="94"/>
    </row>
    <row r="122" spans="2:15" ht="13" hidden="1" x14ac:dyDescent="0.3">
      <c r="B122" s="92"/>
      <c r="C122" s="95" t="s">
        <v>90</v>
      </c>
      <c r="D122" s="29"/>
      <c r="E122" s="29"/>
      <c r="F122" s="29"/>
      <c r="G122" s="29"/>
      <c r="H122" s="29"/>
      <c r="I122" s="29"/>
      <c r="J122" s="29"/>
      <c r="K122" s="29"/>
      <c r="L122" s="8"/>
      <c r="M122" s="8"/>
      <c r="N122" s="8"/>
      <c r="O122" s="94"/>
    </row>
    <row r="123" spans="2:15" ht="13" hidden="1" x14ac:dyDescent="0.3">
      <c r="B123" s="92"/>
      <c r="C123" s="113"/>
      <c r="D123" s="29"/>
      <c r="E123" s="29"/>
      <c r="F123" s="29"/>
      <c r="G123" s="29"/>
      <c r="H123" s="29"/>
      <c r="I123" s="29"/>
      <c r="J123" s="29"/>
      <c r="K123" s="29"/>
      <c r="L123" s="8"/>
      <c r="M123" s="8"/>
      <c r="N123" s="8"/>
      <c r="O123" s="94"/>
    </row>
    <row r="124" spans="2:15" ht="39" hidden="1" x14ac:dyDescent="0.3">
      <c r="B124" s="92"/>
      <c r="C124" s="29"/>
      <c r="D124" s="133" t="s">
        <v>79</v>
      </c>
      <c r="E124" s="81" t="s">
        <v>45</v>
      </c>
      <c r="F124" s="81" t="s">
        <v>46</v>
      </c>
      <c r="G124" s="81" t="s">
        <v>47</v>
      </c>
      <c r="H124" s="81" t="s">
        <v>48</v>
      </c>
      <c r="I124" s="81" t="s">
        <v>49</v>
      </c>
      <c r="J124" s="29"/>
      <c r="K124" s="29"/>
      <c r="L124" s="8"/>
      <c r="M124" s="8"/>
      <c r="N124" s="8"/>
      <c r="O124" s="94"/>
    </row>
    <row r="125" spans="2:15" ht="13" hidden="1" x14ac:dyDescent="0.3">
      <c r="B125" s="92"/>
      <c r="C125" s="123" t="str">
        <f>IF(D49="y","Fraction Full (Max Level)","High/Max Level")</f>
        <v>High/Max Level</v>
      </c>
      <c r="D125" s="132" t="b">
        <f>IF(OR($D$7="c",$D$7="r",D7="h"),(SUM(E53:E67)/COUNTIF(E53:E67,"&gt;0")),IF($D$8="y",(SUM(E53:E67)/COUNTIF(E53:E67,"&gt;0"))/($D$6*10^6)))</f>
        <v>0</v>
      </c>
      <c r="E125" s="135">
        <f t="shared" ref="E125:I126" si="11">E99</f>
        <v>0</v>
      </c>
      <c r="F125" s="135">
        <f t="shared" si="11"/>
        <v>0</v>
      </c>
      <c r="G125" s="135">
        <f t="shared" si="11"/>
        <v>0</v>
      </c>
      <c r="H125" s="135">
        <f t="shared" si="11"/>
        <v>0</v>
      </c>
      <c r="I125" s="135">
        <f t="shared" si="11"/>
        <v>0</v>
      </c>
      <c r="J125" s="95" t="str">
        <f>IF(D49="y","","ft")</f>
        <v>ft</v>
      </c>
      <c r="K125" s="95"/>
      <c r="L125" s="8"/>
      <c r="M125" s="8"/>
      <c r="N125" s="8"/>
      <c r="O125" s="94"/>
    </row>
    <row r="126" spans="2:15" ht="13" hidden="1" x14ac:dyDescent="0.3">
      <c r="B126" s="92"/>
      <c r="C126" s="123" t="str">
        <f>IF(D49="y","Fraction Full (Min Level)","Low/Min Level")</f>
        <v>Low/Min Level</v>
      </c>
      <c r="D126" s="132" t="b">
        <f>IF(OR($D$7="c",$D$7="r",D7="h"),(SUM(D53:D67)/COUNTIF(D53:D67,"&gt;0")),IF($D$8="y",(SUM(D53:D67)/COUNTIF(D53:D67,"&gt;0"))/($D$6*10^6)))</f>
        <v>0</v>
      </c>
      <c r="E126" s="135">
        <f t="shared" si="11"/>
        <v>0</v>
      </c>
      <c r="F126" s="135">
        <f t="shared" si="11"/>
        <v>0</v>
      </c>
      <c r="G126" s="135">
        <f t="shared" si="11"/>
        <v>0</v>
      </c>
      <c r="H126" s="135">
        <f t="shared" si="11"/>
        <v>0</v>
      </c>
      <c r="I126" s="135">
        <f t="shared" si="11"/>
        <v>0</v>
      </c>
      <c r="J126" s="95" t="str">
        <f>IF(D49="y","","ft")</f>
        <v>ft</v>
      </c>
      <c r="K126" s="95"/>
      <c r="L126" s="8"/>
      <c r="M126" s="8"/>
      <c r="N126" s="8"/>
      <c r="O126" s="94"/>
    </row>
    <row r="127" spans="2:15" ht="24.75" hidden="1" customHeight="1" x14ac:dyDescent="0.3">
      <c r="B127" s="92"/>
      <c r="C127" s="137" t="s">
        <v>87</v>
      </c>
      <c r="D127" s="141" t="e">
        <f>D114</f>
        <v>#DIV/0!</v>
      </c>
      <c r="E127" s="141" t="e">
        <f t="shared" ref="E127:I128" si="12">E114</f>
        <v>#VALUE!</v>
      </c>
      <c r="F127" s="141" t="e">
        <f t="shared" si="12"/>
        <v>#VALUE!</v>
      </c>
      <c r="G127" s="141" t="e">
        <f t="shared" si="12"/>
        <v>#VALUE!</v>
      </c>
      <c r="H127" s="141" t="e">
        <f t="shared" si="12"/>
        <v>#VALUE!</v>
      </c>
      <c r="I127" s="141" t="e">
        <f t="shared" si="12"/>
        <v>#VALUE!</v>
      </c>
      <c r="J127" s="95"/>
      <c r="K127" s="95"/>
      <c r="L127" s="8"/>
      <c r="M127" s="8"/>
      <c r="N127" s="8"/>
      <c r="O127" s="94"/>
    </row>
    <row r="128" spans="2:15" ht="13" hidden="1" x14ac:dyDescent="0.3">
      <c r="B128" s="92"/>
      <c r="C128" s="137" t="s">
        <v>8</v>
      </c>
      <c r="D128" s="142" t="e">
        <f>D115</f>
        <v>#DIV/0!</v>
      </c>
      <c r="E128" s="140" t="e">
        <f t="shared" si="12"/>
        <v>#VALUE!</v>
      </c>
      <c r="F128" s="140" t="e">
        <f t="shared" si="12"/>
        <v>#VALUE!</v>
      </c>
      <c r="G128" s="140" t="e">
        <f t="shared" si="12"/>
        <v>#VALUE!</v>
      </c>
      <c r="H128" s="140" t="e">
        <f t="shared" si="12"/>
        <v>#VALUE!</v>
      </c>
      <c r="I128" s="140" t="e">
        <f t="shared" si="12"/>
        <v>#VALUE!</v>
      </c>
      <c r="J128" s="95" t="s">
        <v>2</v>
      </c>
      <c r="K128" s="95"/>
      <c r="L128" s="8"/>
      <c r="M128" s="8"/>
      <c r="N128" s="8"/>
      <c r="O128" s="94"/>
    </row>
    <row r="129" spans="2:15" ht="39" hidden="1" x14ac:dyDescent="0.3">
      <c r="B129" s="92"/>
      <c r="C129" s="161" t="s">
        <v>84</v>
      </c>
      <c r="D129" s="146">
        <v>0.14929999999999999</v>
      </c>
      <c r="E129" s="162">
        <f>D129</f>
        <v>0.14929999999999999</v>
      </c>
      <c r="F129" s="162">
        <f>D129</f>
        <v>0.14929999999999999</v>
      </c>
      <c r="G129" s="162">
        <f>D129</f>
        <v>0.14929999999999999</v>
      </c>
      <c r="H129" s="162">
        <f>D129</f>
        <v>0.14929999999999999</v>
      </c>
      <c r="I129" s="162">
        <f>D129</f>
        <v>0.14929999999999999</v>
      </c>
      <c r="J129" s="95" t="s">
        <v>76</v>
      </c>
      <c r="K129" s="95"/>
      <c r="L129" s="8"/>
      <c r="M129" s="8"/>
      <c r="N129" s="8"/>
      <c r="O129" s="94"/>
    </row>
    <row r="130" spans="2:15" ht="26" hidden="1" x14ac:dyDescent="0.3">
      <c r="B130" s="92"/>
      <c r="C130" s="123" t="s">
        <v>80</v>
      </c>
      <c r="D130" s="124" t="e">
        <f>SUM(F53:F67)/COUNTIF(F53:F67,"&gt;0")</f>
        <v>#DIV/0!</v>
      </c>
      <c r="E130" s="124" t="str">
        <f>IF(OR($D$7="c",$D$7="h"),(E100)*PI()*($D$10/2)^2*7.48/10^6,IF($D$7="r",E100*$D$10*$D$11*7.48/10^6,IF($D$8="y",E100/10^6,"error")))</f>
        <v>error</v>
      </c>
      <c r="F130" s="124" t="str">
        <f>IF(OR($D$7="c",$D$7="h"),(F100)*PI()*($D$10/2)^2*7.48/10^6,IF($D$7="r",F100*$D$10*$D$11*7.48/10^6,IF($D$8="y",F100/10^6,"error")))</f>
        <v>error</v>
      </c>
      <c r="G130" s="124" t="str">
        <f>IF(OR($D$7="c",$D$7="h"),(G100)*PI()*($D$10/2)^2*7.48/10^6,IF($D$7="r",G100*$D$10*$D$11*7.48/10^6,IF($D$8="y",G100/10^6,"error")))</f>
        <v>error</v>
      </c>
      <c r="H130" s="124" t="str">
        <f>IF(OR($D$7="c",$D$7="h"),(H100)*PI()*($D$10/2)^2*7.48/10^6,IF($D$7="r",H100*$D$10*$D$11*7.48/10^6,IF($D$8="y",H100/10^6,"error")))</f>
        <v>error</v>
      </c>
      <c r="I130" s="124" t="str">
        <f>IF(OR($D$7="c",$D$7="h"),(I100)*PI()*($D$10/2)^2*7.48/10^6,IF($D$7="r",I100*$D$10*$D$11*7.48/10^6,IF($D$8="y",I100/10^6,"error")))</f>
        <v>error</v>
      </c>
      <c r="J130" s="95" t="s">
        <v>5</v>
      </c>
      <c r="K130" s="95"/>
      <c r="L130" s="8"/>
      <c r="M130" s="8"/>
      <c r="N130" s="8"/>
      <c r="O130" s="94"/>
    </row>
    <row r="131" spans="2:15" ht="39" hidden="1" x14ac:dyDescent="0.3">
      <c r="B131" s="92"/>
      <c r="C131" s="125" t="s">
        <v>81</v>
      </c>
      <c r="D131" s="124" t="e">
        <f>SUM(F53:F67)/COUNTIF(F53:F67,"&gt;0")+SUM(G53:G67)/COUNTIF(G53:G67,"&gt;0")</f>
        <v>#DIV/0!</v>
      </c>
      <c r="E131" s="11" t="str">
        <f>IF(OR($D$7="c",$D$7="h"),(E99)*PI()*($D$10/2)^2*7.48/10^6,IF($D$7="r",E99*$D$10*$D$11*7.48/10^6,IF($D$8="y",E99/10^6,"error")))</f>
        <v>error</v>
      </c>
      <c r="F131" s="11" t="str">
        <f>IF(OR($D$7="c",$D$7="h"),(F99)*PI()*($D$10/2)^2*7.48/10^6,IF($D$7="r",F99*$D$10*$D$11*7.48/10^6,IF($D$8="y",F99/10^6,"error")))</f>
        <v>error</v>
      </c>
      <c r="G131" s="11" t="str">
        <f>IF(OR($D$7="c",$D$7="h"),(G99)*PI()*($D$10/2)^2*7.48/10^6,IF($D$7="r",G99*$D$10*$D$11*7.48/10^6,IF($D$8="y",G99/10^6,"error")))</f>
        <v>error</v>
      </c>
      <c r="H131" s="11" t="str">
        <f>IF(OR($D$7="c",$D$7="h"),(H99)*PI()*($D$10/2)^2*7.48/10^6,IF($D$7="r",H99*$D$10*$D$11*7.48/10^6,IF($D$8="y",H99/10^6,"error")))</f>
        <v>error</v>
      </c>
      <c r="I131" s="11" t="str">
        <f>IF(OR($D$7="c",$D$7="h"),(I99)*PI()*($D$10/2)^2*7.48/10^6,IF($D$7="r",I99*$D$10*$D$11*7.48/10^6,IF($D$8="y",I99/10^6,"error")))</f>
        <v>error</v>
      </c>
      <c r="J131" s="95" t="s">
        <v>5</v>
      </c>
      <c r="K131" s="95"/>
      <c r="L131" s="8"/>
      <c r="M131" s="8"/>
      <c r="N131" s="8"/>
      <c r="O131" s="94"/>
    </row>
    <row r="132" spans="2:15" ht="13" hidden="1" x14ac:dyDescent="0.3">
      <c r="B132" s="92"/>
      <c r="C132" s="123" t="s">
        <v>83</v>
      </c>
      <c r="D132" s="124" t="e">
        <f t="shared" ref="D132:I133" si="13">D108</f>
        <v>#DIV/0!</v>
      </c>
      <c r="E132" s="124" t="e">
        <f t="shared" si="13"/>
        <v>#VALUE!</v>
      </c>
      <c r="F132" s="124" t="e">
        <f t="shared" si="13"/>
        <v>#VALUE!</v>
      </c>
      <c r="G132" s="124" t="e">
        <f t="shared" si="13"/>
        <v>#VALUE!</v>
      </c>
      <c r="H132" s="124" t="e">
        <f t="shared" si="13"/>
        <v>#VALUE!</v>
      </c>
      <c r="I132" s="124" t="e">
        <f t="shared" si="13"/>
        <v>#VALUE!</v>
      </c>
      <c r="J132" s="95" t="s">
        <v>2</v>
      </c>
      <c r="K132" s="95"/>
      <c r="L132" s="8"/>
      <c r="M132" s="8"/>
      <c r="N132" s="8"/>
      <c r="O132" s="94"/>
    </row>
    <row r="133" spans="2:15" ht="13" hidden="1" x14ac:dyDescent="0.3">
      <c r="B133" s="92"/>
      <c r="C133" s="123" t="s">
        <v>82</v>
      </c>
      <c r="D133" s="132" t="e">
        <f t="shared" si="13"/>
        <v>#DIV/0!</v>
      </c>
      <c r="E133" s="132" t="e">
        <f t="shared" si="13"/>
        <v>#VALUE!</v>
      </c>
      <c r="F133" s="132" t="e">
        <f t="shared" si="13"/>
        <v>#VALUE!</v>
      </c>
      <c r="G133" s="132" t="e">
        <f t="shared" si="13"/>
        <v>#VALUE!</v>
      </c>
      <c r="H133" s="132" t="e">
        <f t="shared" si="13"/>
        <v>#VALUE!</v>
      </c>
      <c r="I133" s="132" t="e">
        <f t="shared" si="13"/>
        <v>#VALUE!</v>
      </c>
      <c r="J133" s="95" t="s">
        <v>2</v>
      </c>
      <c r="K133" s="95"/>
      <c r="L133" s="8"/>
      <c r="M133" s="8"/>
      <c r="N133" s="8"/>
      <c r="O133" s="94"/>
    </row>
    <row r="134" spans="2:15" ht="39" hidden="1" x14ac:dyDescent="0.3">
      <c r="B134" s="92"/>
      <c r="C134" s="123" t="s">
        <v>91</v>
      </c>
      <c r="D134" s="144" t="e">
        <f t="shared" ref="D134:I134" si="14">(D130/(D131-D130))*(D133+D132)+D133+D132*(1-((D130/(D131-D130))-ROUNDDOWN((D130/(D131-D130)),0)))</f>
        <v>#DIV/0!</v>
      </c>
      <c r="E134" s="144" t="e">
        <f t="shared" si="14"/>
        <v>#VALUE!</v>
      </c>
      <c r="F134" s="144" t="e">
        <f t="shared" si="14"/>
        <v>#VALUE!</v>
      </c>
      <c r="G134" s="144" t="e">
        <f t="shared" si="14"/>
        <v>#VALUE!</v>
      </c>
      <c r="H134" s="144" t="e">
        <f t="shared" si="14"/>
        <v>#VALUE!</v>
      </c>
      <c r="I134" s="144" t="e">
        <f t="shared" si="14"/>
        <v>#VALUE!</v>
      </c>
      <c r="J134" s="95" t="s">
        <v>2</v>
      </c>
      <c r="K134" s="95"/>
      <c r="L134" s="8"/>
      <c r="M134" s="8"/>
      <c r="N134" s="8"/>
      <c r="O134" s="94"/>
    </row>
    <row r="135" spans="2:15" ht="40.5" hidden="1" customHeight="1" x14ac:dyDescent="0.3">
      <c r="B135" s="92"/>
      <c r="C135" s="161" t="s">
        <v>85</v>
      </c>
      <c r="D135" s="146">
        <v>1.57</v>
      </c>
      <c r="E135" s="163">
        <f>D135</f>
        <v>1.57</v>
      </c>
      <c r="F135" s="163">
        <f>D135</f>
        <v>1.57</v>
      </c>
      <c r="G135" s="163">
        <f>D135</f>
        <v>1.57</v>
      </c>
      <c r="H135" s="163">
        <f>D135</f>
        <v>1.57</v>
      </c>
      <c r="I135" s="163">
        <f>D135</f>
        <v>1.57</v>
      </c>
      <c r="J135" s="95" t="s">
        <v>78</v>
      </c>
      <c r="K135" s="95"/>
      <c r="L135" s="8"/>
      <c r="M135" s="8"/>
      <c r="N135" s="8"/>
      <c r="O135" s="94"/>
    </row>
    <row r="136" spans="2:15" ht="41" hidden="1" x14ac:dyDescent="0.3">
      <c r="B136" s="92"/>
      <c r="C136" s="143" t="s">
        <v>109</v>
      </c>
      <c r="D136" s="145" t="e">
        <f t="shared" ref="D136:I136" si="15">((EXP(-D129*D133)-EXP(-D129*(D132+D133)))*D135)/(D129*D132*(1+(D130/(D131-D130))*(1-EXP(-D129*(D132+D133)))))</f>
        <v>#DIV/0!</v>
      </c>
      <c r="E136" s="145" t="e">
        <f t="shared" si="15"/>
        <v>#VALUE!</v>
      </c>
      <c r="F136" s="145" t="e">
        <f t="shared" si="15"/>
        <v>#VALUE!</v>
      </c>
      <c r="G136" s="145" t="e">
        <f t="shared" si="15"/>
        <v>#VALUE!</v>
      </c>
      <c r="H136" s="145" t="e">
        <f t="shared" si="15"/>
        <v>#VALUE!</v>
      </c>
      <c r="I136" s="145" t="e">
        <f t="shared" si="15"/>
        <v>#VALUE!</v>
      </c>
      <c r="J136" s="95" t="s">
        <v>78</v>
      </c>
      <c r="K136" s="95"/>
      <c r="L136" s="8"/>
      <c r="M136" s="8"/>
      <c r="N136" s="8"/>
      <c r="O136" s="94"/>
    </row>
    <row r="137" spans="2:15" ht="41" hidden="1" x14ac:dyDescent="0.3">
      <c r="B137" s="92"/>
      <c r="C137" s="143" t="s">
        <v>108</v>
      </c>
      <c r="D137" s="145" t="e">
        <f t="shared" ref="D137:I137" si="16">D135*EXP(-D129*D134)</f>
        <v>#DIV/0!</v>
      </c>
      <c r="E137" s="145" t="e">
        <f t="shared" si="16"/>
        <v>#VALUE!</v>
      </c>
      <c r="F137" s="145" t="e">
        <f t="shared" si="16"/>
        <v>#VALUE!</v>
      </c>
      <c r="G137" s="145" t="e">
        <f t="shared" si="16"/>
        <v>#VALUE!</v>
      </c>
      <c r="H137" s="145" t="e">
        <f t="shared" si="16"/>
        <v>#VALUE!</v>
      </c>
      <c r="I137" s="145" t="e">
        <f t="shared" si="16"/>
        <v>#VALUE!</v>
      </c>
      <c r="J137" s="95" t="s">
        <v>78</v>
      </c>
      <c r="K137" s="95"/>
      <c r="L137" s="8"/>
      <c r="M137" s="8"/>
      <c r="N137" s="8"/>
      <c r="O137" s="94"/>
    </row>
    <row r="138" spans="2:15" hidden="1" x14ac:dyDescent="0.25">
      <c r="B138" s="92"/>
      <c r="C138" s="8" t="s">
        <v>110</v>
      </c>
      <c r="D138" s="8"/>
      <c r="E138" s="8"/>
      <c r="F138" s="8"/>
      <c r="G138" s="8"/>
      <c r="H138" s="8"/>
      <c r="I138" s="8"/>
      <c r="J138" s="8"/>
      <c r="K138" s="8"/>
      <c r="L138" s="8"/>
      <c r="M138" s="8"/>
      <c r="N138" s="8"/>
      <c r="O138" s="94"/>
    </row>
    <row r="139" spans="2:15" hidden="1" x14ac:dyDescent="0.25">
      <c r="B139" s="92"/>
      <c r="C139" s="424" t="s">
        <v>228</v>
      </c>
      <c r="D139" s="422"/>
      <c r="E139" s="422"/>
      <c r="F139" s="422"/>
      <c r="G139" s="422"/>
      <c r="H139" s="422"/>
      <c r="I139" s="422"/>
      <c r="J139" s="8"/>
      <c r="K139" s="8"/>
      <c r="L139" s="8"/>
      <c r="M139" s="8"/>
      <c r="N139" s="8"/>
      <c r="O139" s="94"/>
    </row>
    <row r="140" spans="2:15" hidden="1" x14ac:dyDescent="0.25">
      <c r="B140" s="92"/>
      <c r="C140" s="424" t="s">
        <v>229</v>
      </c>
      <c r="D140" s="422"/>
      <c r="E140" s="422"/>
      <c r="F140" s="422"/>
      <c r="G140" s="422"/>
      <c r="H140" s="422"/>
      <c r="I140" s="422"/>
      <c r="J140" s="8"/>
      <c r="K140" s="8"/>
      <c r="L140" s="8"/>
      <c r="M140" s="8"/>
      <c r="N140" s="8"/>
      <c r="O140" s="94"/>
    </row>
    <row r="141" spans="2:15" hidden="1" x14ac:dyDescent="0.25">
      <c r="B141" s="92"/>
      <c r="C141" s="424" t="s">
        <v>230</v>
      </c>
      <c r="D141" s="422"/>
      <c r="E141" s="422"/>
      <c r="F141" s="422"/>
      <c r="G141" s="422"/>
      <c r="H141" s="422"/>
      <c r="I141" s="422"/>
      <c r="J141" s="8"/>
      <c r="K141" s="8"/>
      <c r="L141" s="8"/>
      <c r="M141" s="8"/>
      <c r="N141" s="8"/>
      <c r="O141" s="94"/>
    </row>
    <row r="142" spans="2:15" hidden="1" x14ac:dyDescent="0.25">
      <c r="B142" s="92"/>
      <c r="C142" s="422" t="s">
        <v>231</v>
      </c>
      <c r="D142" s="422"/>
      <c r="E142" s="422"/>
      <c r="F142" s="422"/>
      <c r="G142" s="422"/>
      <c r="H142" s="422"/>
      <c r="I142" s="422"/>
      <c r="J142" s="8"/>
      <c r="K142" s="8"/>
      <c r="L142" s="8"/>
      <c r="M142" s="8"/>
      <c r="N142" s="8"/>
      <c r="O142" s="94"/>
    </row>
    <row r="143" spans="2:15" ht="26.25" hidden="1" customHeight="1" thickBot="1" x14ac:dyDescent="0.3">
      <c r="B143" s="101"/>
      <c r="C143" s="423"/>
      <c r="D143" s="423"/>
      <c r="E143" s="423"/>
      <c r="F143" s="423"/>
      <c r="G143" s="423"/>
      <c r="H143" s="423"/>
      <c r="I143" s="423"/>
      <c r="J143" s="102"/>
      <c r="K143" s="102"/>
      <c r="L143" s="102"/>
      <c r="M143" s="102"/>
      <c r="N143" s="102"/>
      <c r="O143" s="103"/>
    </row>
  </sheetData>
  <mergeCells count="4">
    <mergeCell ref="E11:F12"/>
    <mergeCell ref="H74:I74"/>
    <mergeCell ref="I77:L80"/>
    <mergeCell ref="D80:F83"/>
  </mergeCells>
  <conditionalFormatting sqref="D114:I114">
    <cfRule type="cellIs" dxfId="23" priority="7" stopIfTrue="1" operator="greaterThanOrEqual">
      <formula>1</formula>
    </cfRule>
    <cfRule type="cellIs" dxfId="22" priority="8" stopIfTrue="1" operator="lessThan">
      <formula>1</formula>
    </cfRule>
  </conditionalFormatting>
  <conditionalFormatting sqref="D115:I115">
    <cfRule type="cellIs" dxfId="21" priority="5" stopIfTrue="1" operator="greaterThan">
      <formula>5</formula>
    </cfRule>
    <cfRule type="cellIs" dxfId="20" priority="6" stopIfTrue="1" operator="lessThanOrEqual">
      <formula>5</formula>
    </cfRule>
  </conditionalFormatting>
  <conditionalFormatting sqref="E79">
    <cfRule type="cellIs" dxfId="19" priority="3" stopIfTrue="1" operator="lessThanOrEqual">
      <formula>5</formula>
    </cfRule>
    <cfRule type="cellIs" dxfId="18" priority="4" stopIfTrue="1" operator="greaterThan">
      <formula>5</formula>
    </cfRule>
  </conditionalFormatting>
  <conditionalFormatting sqref="J75">
    <cfRule type="cellIs" dxfId="17" priority="1" stopIfTrue="1" operator="greaterThanOrEqual">
      <formula>1</formula>
    </cfRule>
    <cfRule type="cellIs" dxfId="16" priority="2" stopIfTrue="1" operator="lessThan">
      <formula>1</formula>
    </cfRule>
  </conditionalFormatting>
  <pageMargins left="0.75" right="0.75" top="1" bottom="1" header="0.5" footer="0.5"/>
  <pageSetup scale="63" fitToHeight="4" orientation="landscape" r:id="rId1"/>
  <headerFooter alignWithMargins="0"/>
  <rowBreaks count="2" manualBreakCount="2">
    <brk id="48" max="16383" man="1"/>
    <brk id="84" max="16383"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2C13B-3958-45C0-8A24-092B49DB3453}">
  <dimension ref="A1:T143"/>
  <sheetViews>
    <sheetView showGridLines="0" topLeftCell="A43" zoomScale="80" zoomScaleNormal="80" workbookViewId="0">
      <selection activeCell="I81" sqref="I81"/>
    </sheetView>
  </sheetViews>
  <sheetFormatPr defaultColWidth="9.1796875" defaultRowHeight="12.5" x14ac:dyDescent="0.25"/>
  <cols>
    <col min="1" max="2" width="1.54296875" style="1" customWidth="1"/>
    <col min="3" max="3" width="26" style="1" customWidth="1"/>
    <col min="4" max="4" width="17.81640625" style="1" customWidth="1"/>
    <col min="5" max="6" width="20.81640625" style="1" customWidth="1"/>
    <col min="7" max="7" width="17.81640625" style="1" customWidth="1"/>
    <col min="8" max="9" width="23.81640625" style="1" customWidth="1"/>
    <col min="10" max="10" width="16.453125" style="1" customWidth="1"/>
    <col min="11" max="11" width="12.81640625" style="1" customWidth="1"/>
    <col min="12" max="12" width="16.1796875" style="1" customWidth="1"/>
    <col min="13" max="13" width="9.1796875" style="1"/>
    <col min="14" max="14" width="9.81640625" style="1" customWidth="1"/>
    <col min="15" max="17" width="9.1796875" style="1"/>
    <col min="18" max="18" width="9.1796875" style="485" customWidth="1"/>
    <col min="19" max="16384" width="9.1796875" style="1"/>
  </cols>
  <sheetData>
    <row r="1" spans="2:20" ht="13" thickBot="1" x14ac:dyDescent="0.3"/>
    <row r="2" spans="2:20" ht="20.25" customHeight="1" thickBot="1" x14ac:dyDescent="0.3">
      <c r="B2" s="425" t="s">
        <v>301</v>
      </c>
      <c r="C2" s="426"/>
      <c r="D2" s="426"/>
      <c r="E2" s="426"/>
      <c r="F2" s="426"/>
      <c r="G2" s="426"/>
      <c r="H2" s="426"/>
      <c r="I2" s="426"/>
      <c r="J2" s="426"/>
      <c r="K2" s="426"/>
      <c r="L2" s="426"/>
      <c r="M2" s="426"/>
      <c r="N2" s="426"/>
      <c r="O2" s="427"/>
    </row>
    <row r="3" spans="2:20" ht="18.5" thickBot="1" x14ac:dyDescent="0.45">
      <c r="B3" s="116" t="s">
        <v>187</v>
      </c>
      <c r="C3" s="117"/>
      <c r="D3" s="118"/>
      <c r="E3" s="117"/>
      <c r="F3" s="118"/>
      <c r="G3" s="118"/>
      <c r="H3" s="118"/>
      <c r="I3" s="118"/>
      <c r="J3" s="118"/>
      <c r="K3" s="118"/>
      <c r="L3" s="118"/>
      <c r="M3" s="118"/>
      <c r="N3" s="118"/>
      <c r="O3" s="119"/>
    </row>
    <row r="4" spans="2:20" ht="16" customHeight="1" x14ac:dyDescent="0.3">
      <c r="B4" s="149"/>
      <c r="C4" s="329"/>
      <c r="D4" s="90"/>
      <c r="E4" s="90"/>
      <c r="F4" s="90"/>
      <c r="G4" s="90"/>
      <c r="H4" s="90"/>
      <c r="I4" s="90"/>
      <c r="J4" s="90"/>
      <c r="K4" s="90"/>
      <c r="L4" s="90"/>
      <c r="M4" s="90"/>
      <c r="N4" s="90"/>
      <c r="O4" s="91"/>
    </row>
    <row r="5" spans="2:20" ht="16" customHeight="1" x14ac:dyDescent="0.3">
      <c r="B5" s="92"/>
      <c r="C5" s="152" t="s">
        <v>7</v>
      </c>
      <c r="D5" s="153">
        <f>'Tank Summary'!S12</f>
        <v>0</v>
      </c>
      <c r="E5" s="93"/>
      <c r="F5" s="93"/>
      <c r="G5" s="8"/>
      <c r="H5" s="8"/>
      <c r="I5" s="8"/>
      <c r="J5" s="8"/>
      <c r="K5" s="8"/>
      <c r="L5" s="8"/>
      <c r="M5" s="8"/>
      <c r="N5" s="8"/>
      <c r="O5" s="94"/>
    </row>
    <row r="6" spans="2:20" ht="16" customHeight="1" x14ac:dyDescent="0.3">
      <c r="B6" s="92"/>
      <c r="C6" s="147" t="s">
        <v>96</v>
      </c>
      <c r="D6" s="154">
        <f>'Tank Summary'!S13</f>
        <v>0</v>
      </c>
      <c r="E6" s="93"/>
      <c r="F6" s="93"/>
      <c r="G6" s="8"/>
      <c r="H6" s="8"/>
      <c r="I6" s="8"/>
      <c r="J6" s="8"/>
      <c r="K6" s="8"/>
      <c r="L6" s="8"/>
      <c r="M6" s="8"/>
      <c r="N6" s="8"/>
      <c r="O6" s="94"/>
    </row>
    <row r="7" spans="2:20" ht="40.5" customHeight="1" x14ac:dyDescent="0.3">
      <c r="B7" s="92"/>
      <c r="C7" s="155" t="s">
        <v>64</v>
      </c>
      <c r="D7" s="88">
        <f>'Tank Summary'!S14</f>
        <v>0</v>
      </c>
      <c r="E7" s="150"/>
      <c r="F7" s="93"/>
      <c r="G7" s="151"/>
      <c r="H7" s="8"/>
      <c r="I7" s="8"/>
      <c r="J7" s="8"/>
      <c r="K7" s="8"/>
      <c r="L7" s="8"/>
      <c r="M7" s="8"/>
      <c r="N7" s="8"/>
      <c r="O7" s="94"/>
    </row>
    <row r="8" spans="2:20" ht="39.75" customHeight="1" x14ac:dyDescent="0.3">
      <c r="B8" s="92"/>
      <c r="C8" s="155" t="s">
        <v>66</v>
      </c>
      <c r="D8" s="156">
        <f>'Tank Summary'!S15</f>
        <v>0</v>
      </c>
      <c r="E8" s="150"/>
      <c r="F8" s="93"/>
      <c r="G8" s="151"/>
      <c r="H8" s="8"/>
      <c r="I8" s="8"/>
      <c r="J8" s="8"/>
      <c r="K8" s="8"/>
      <c r="L8" s="8"/>
      <c r="M8" s="8"/>
      <c r="N8" s="8"/>
      <c r="O8" s="94"/>
    </row>
    <row r="9" spans="2:20" ht="18" customHeight="1" x14ac:dyDescent="0.3">
      <c r="B9" s="92"/>
      <c r="C9" s="147" t="s">
        <v>304</v>
      </c>
      <c r="D9" s="157">
        <f>'Tank Summary'!S20</f>
        <v>0</v>
      </c>
      <c r="E9" s="93" t="str">
        <f>IF(OR(D7="c", D7="r",D7="h"),"ft","")</f>
        <v/>
      </c>
      <c r="F9" s="96"/>
      <c r="G9" s="8"/>
      <c r="H9" s="8"/>
      <c r="I9" s="8"/>
      <c r="J9" s="8"/>
      <c r="K9" s="8"/>
      <c r="L9" s="8"/>
      <c r="M9" s="8"/>
      <c r="N9" s="8"/>
      <c r="O9" s="94"/>
    </row>
    <row r="10" spans="2:20" ht="18" customHeight="1" x14ac:dyDescent="0.3">
      <c r="B10" s="92"/>
      <c r="C10" s="158" t="str">
        <f>IF(OR(D7="c", D7="h"), "Tank diameter, D:", IF(D7="r","Longest Sidewall Length, D:","Maximum diameter, D:"))</f>
        <v>Maximum diameter, D:</v>
      </c>
      <c r="D10" s="157">
        <f>'Tank Summary'!S17</f>
        <v>0</v>
      </c>
      <c r="E10" s="93" t="str">
        <f>IF(OR(D7="c", D7="r",D7="h"),"ft","")</f>
        <v/>
      </c>
      <c r="F10" s="93"/>
      <c r="G10" s="151"/>
      <c r="H10" s="8"/>
      <c r="I10" s="8"/>
      <c r="J10" s="8"/>
      <c r="K10" s="8"/>
      <c r="L10" s="8"/>
      <c r="M10" s="8"/>
      <c r="N10" s="8"/>
      <c r="O10" s="94"/>
    </row>
    <row r="11" spans="2:20" ht="18" customHeight="1" x14ac:dyDescent="0.3">
      <c r="B11" s="92"/>
      <c r="C11" s="158" t="str">
        <f>IF(OR(D7="c", D7="h"),"",IF(D7="r","Shortest Sidewall Length, L:",""))</f>
        <v/>
      </c>
      <c r="D11" s="157">
        <f>'Tank Summary'!S18</f>
        <v>0</v>
      </c>
      <c r="E11" s="501" t="str">
        <f>IF(OR(D7="c", D7="h"),"",IF(D7="r","ft",IF(D8="y","","Spreadsheet is not set up for shapes other than cylindrical, hydropillar, &amp; rectangular unless SCADA reports tank volume!")))</f>
        <v>Spreadsheet is not set up for shapes other than cylindrical, hydropillar, &amp; rectangular unless SCADA reports tank volume!</v>
      </c>
      <c r="F11" s="502"/>
      <c r="G11" s="151"/>
      <c r="H11" s="8"/>
      <c r="I11" s="8"/>
      <c r="J11" s="8"/>
      <c r="K11" s="8"/>
      <c r="L11" s="8"/>
      <c r="M11" s="8"/>
      <c r="N11" s="8"/>
      <c r="O11" s="94"/>
    </row>
    <row r="12" spans="2:20" ht="18" customHeight="1" x14ac:dyDescent="0.3">
      <c r="B12" s="92"/>
      <c r="C12" s="152" t="str">
        <f>IF(D8="y", "Volume Cutoff Ratio:", "H/D Ratio:")</f>
        <v>H/D Ratio:</v>
      </c>
      <c r="D12" s="88" t="e">
        <f>IF(D8="y", (PI()/4)*D10^3, 'Tank Summary'!S22)</f>
        <v>#DIV/0!</v>
      </c>
      <c r="E12" s="501"/>
      <c r="F12" s="502"/>
      <c r="G12" s="151"/>
      <c r="H12" s="8"/>
      <c r="I12" s="8"/>
      <c r="J12" s="8"/>
      <c r="K12" s="8"/>
      <c r="L12" s="8"/>
      <c r="M12" s="8"/>
      <c r="N12" s="8"/>
      <c r="O12" s="94"/>
    </row>
    <row r="13" spans="2:20" ht="18" customHeight="1" x14ac:dyDescent="0.3">
      <c r="B13" s="92"/>
      <c r="C13" s="152" t="s">
        <v>10</v>
      </c>
      <c r="D13" s="88">
        <f>'Tank Summary'!S19</f>
        <v>0</v>
      </c>
      <c r="E13" s="93" t="s">
        <v>1</v>
      </c>
      <c r="F13" s="93"/>
      <c r="G13" s="8"/>
      <c r="H13" s="8"/>
      <c r="I13" s="8"/>
      <c r="J13" s="8"/>
      <c r="K13" s="8"/>
      <c r="L13" s="8"/>
      <c r="M13" s="8"/>
      <c r="N13" s="8"/>
      <c r="O13" s="94"/>
    </row>
    <row r="14" spans="2:20" ht="16" customHeight="1" x14ac:dyDescent="0.25">
      <c r="B14" s="92"/>
      <c r="C14" s="29"/>
      <c r="D14" s="29"/>
      <c r="E14" s="29"/>
      <c r="F14" s="29"/>
      <c r="G14" s="29"/>
      <c r="H14" s="29"/>
      <c r="I14" s="29"/>
      <c r="J14" s="8"/>
      <c r="K14" s="8"/>
      <c r="L14" s="8"/>
      <c r="M14" s="8"/>
      <c r="N14" s="8"/>
      <c r="O14" s="94"/>
      <c r="Q14" s="481"/>
      <c r="R14" s="481"/>
      <c r="S14" s="481"/>
      <c r="T14" s="481"/>
    </row>
    <row r="15" spans="2:20" ht="16" customHeight="1" x14ac:dyDescent="0.3">
      <c r="B15" s="92"/>
      <c r="C15" s="95" t="s">
        <v>206</v>
      </c>
      <c r="D15" s="53"/>
      <c r="E15" s="53"/>
      <c r="F15" s="53"/>
      <c r="G15" s="96"/>
      <c r="H15" s="338"/>
      <c r="I15" s="53"/>
      <c r="J15" s="8"/>
      <c r="K15" s="8"/>
      <c r="L15" s="97"/>
      <c r="M15" s="8"/>
      <c r="N15" s="8"/>
      <c r="O15" s="94"/>
      <c r="Q15" s="481"/>
      <c r="R15" s="481"/>
      <c r="S15" s="481"/>
      <c r="T15" s="481"/>
    </row>
    <row r="16" spans="2:20" ht="13" x14ac:dyDescent="0.3">
      <c r="B16" s="92"/>
      <c r="C16" s="13" t="s">
        <v>19</v>
      </c>
      <c r="D16" s="13" t="s">
        <v>20</v>
      </c>
      <c r="E16" s="13" t="str">
        <f>IF(D8="y","Vol at Start of Fill","Min Level")</f>
        <v>Min Level</v>
      </c>
      <c r="F16" s="13" t="str">
        <f>IF(D8="y","Vol at End of Fill","Max Level")</f>
        <v>Max Level</v>
      </c>
      <c r="G16" s="13" t="s">
        <v>21</v>
      </c>
      <c r="H16" s="13" t="s">
        <v>22</v>
      </c>
      <c r="I16" s="8"/>
      <c r="K16" s="8"/>
      <c r="L16" s="8"/>
      <c r="M16" s="8"/>
      <c r="N16" s="8"/>
      <c r="O16" s="94"/>
      <c r="Q16" s="481"/>
      <c r="R16" s="482" t="s">
        <v>285</v>
      </c>
      <c r="S16" s="481"/>
      <c r="T16" s="481"/>
    </row>
    <row r="17" spans="2:20" ht="13" x14ac:dyDescent="0.3">
      <c r="B17" s="92"/>
      <c r="C17" s="14"/>
      <c r="D17" s="14"/>
      <c r="E17" s="14" t="str">
        <f>IF(D8="y","Gal","Ft")</f>
        <v>Ft</v>
      </c>
      <c r="F17" s="14" t="str">
        <f>IF(D8="y","Gal","Ft")</f>
        <v>Ft</v>
      </c>
      <c r="G17" s="14"/>
      <c r="H17" s="14" t="s">
        <v>23</v>
      </c>
      <c r="I17" s="8"/>
      <c r="K17" s="8"/>
      <c r="L17" s="8"/>
      <c r="M17" s="8"/>
      <c r="N17" s="8"/>
      <c r="O17" s="94"/>
      <c r="Q17" s="481"/>
      <c r="R17" s="482" t="str">
        <f>IF(D8="y","Gal","Ft")</f>
        <v>Ft</v>
      </c>
      <c r="S17" s="481"/>
      <c r="T17" s="481"/>
    </row>
    <row r="18" spans="2:20" ht="13" x14ac:dyDescent="0.3">
      <c r="B18" s="92"/>
      <c r="C18" s="339"/>
      <c r="D18" s="340"/>
      <c r="E18" s="341"/>
      <c r="F18" s="341"/>
      <c r="G18" s="89">
        <f t="shared" ref="G18:G47" si="0">C18+D18</f>
        <v>0</v>
      </c>
      <c r="H18" s="12">
        <v>0</v>
      </c>
      <c r="I18" s="8">
        <v>1</v>
      </c>
      <c r="K18" s="8"/>
      <c r="L18" s="8"/>
      <c r="M18" s="8"/>
      <c r="N18" s="8"/>
      <c r="O18" s="94"/>
      <c r="Q18" s="481"/>
      <c r="R18" s="483" t="str">
        <f t="shared" ref="R18:R47" si="1">IF(G18,E18+F18,"")</f>
        <v/>
      </c>
      <c r="S18" s="481"/>
      <c r="T18" s="481"/>
    </row>
    <row r="19" spans="2:20" ht="13" x14ac:dyDescent="0.3">
      <c r="B19" s="92"/>
      <c r="C19" s="339"/>
      <c r="D19" s="340"/>
      <c r="E19" s="341"/>
      <c r="F19" s="341"/>
      <c r="G19" s="89">
        <f t="shared" si="0"/>
        <v>0</v>
      </c>
      <c r="H19" s="12" t="str">
        <f t="shared" ref="H19:H47" si="2">IF(G19,G19-$G$18,"")</f>
        <v/>
      </c>
      <c r="I19" s="8"/>
      <c r="K19" s="8"/>
      <c r="L19" s="8"/>
      <c r="M19" s="8"/>
      <c r="N19" s="8"/>
      <c r="O19" s="94"/>
      <c r="Q19" s="481"/>
      <c r="R19" s="483" t="str">
        <f t="shared" si="1"/>
        <v/>
      </c>
      <c r="S19" s="481"/>
      <c r="T19" s="481"/>
    </row>
    <row r="20" spans="2:20" ht="13" x14ac:dyDescent="0.3">
      <c r="B20" s="92"/>
      <c r="C20" s="347"/>
      <c r="D20" s="348"/>
      <c r="E20" s="349"/>
      <c r="F20" s="349"/>
      <c r="G20" s="350">
        <f t="shared" si="0"/>
        <v>0</v>
      </c>
      <c r="H20" s="351" t="str">
        <f t="shared" si="2"/>
        <v/>
      </c>
      <c r="I20" s="8">
        <v>2</v>
      </c>
      <c r="K20" s="8"/>
      <c r="L20" s="8"/>
      <c r="M20" s="8"/>
      <c r="N20" s="8"/>
      <c r="O20" s="94"/>
      <c r="Q20" s="481"/>
      <c r="R20" s="483" t="str">
        <f t="shared" si="1"/>
        <v/>
      </c>
      <c r="S20" s="481"/>
      <c r="T20" s="481"/>
    </row>
    <row r="21" spans="2:20" ht="13" x14ac:dyDescent="0.3">
      <c r="B21" s="92"/>
      <c r="C21" s="347"/>
      <c r="D21" s="348"/>
      <c r="E21" s="349"/>
      <c r="F21" s="349"/>
      <c r="G21" s="350">
        <f t="shared" si="0"/>
        <v>0</v>
      </c>
      <c r="H21" s="351" t="str">
        <f t="shared" si="2"/>
        <v/>
      </c>
      <c r="I21" s="8"/>
      <c r="K21" s="8"/>
      <c r="L21" s="8"/>
      <c r="M21" s="8"/>
      <c r="N21" s="8"/>
      <c r="O21" s="94"/>
      <c r="Q21" s="481"/>
      <c r="R21" s="483" t="str">
        <f t="shared" si="1"/>
        <v/>
      </c>
      <c r="S21" s="481"/>
      <c r="T21" s="481"/>
    </row>
    <row r="22" spans="2:20" ht="13" x14ac:dyDescent="0.3">
      <c r="B22" s="92"/>
      <c r="C22" s="339"/>
      <c r="D22" s="340"/>
      <c r="E22" s="341"/>
      <c r="F22" s="341"/>
      <c r="G22" s="89">
        <f t="shared" si="0"/>
        <v>0</v>
      </c>
      <c r="H22" s="12" t="str">
        <f t="shared" si="2"/>
        <v/>
      </c>
      <c r="I22" s="8">
        <v>3</v>
      </c>
      <c r="K22" s="8"/>
      <c r="L22" s="8"/>
      <c r="M22" s="8"/>
      <c r="N22" s="8"/>
      <c r="O22" s="94"/>
      <c r="Q22" s="481"/>
      <c r="R22" s="483" t="str">
        <f t="shared" si="1"/>
        <v/>
      </c>
      <c r="S22" s="481"/>
      <c r="T22" s="481"/>
    </row>
    <row r="23" spans="2:20" ht="13" x14ac:dyDescent="0.3">
      <c r="B23" s="92"/>
      <c r="C23" s="339"/>
      <c r="D23" s="340"/>
      <c r="E23" s="341"/>
      <c r="F23" s="341"/>
      <c r="G23" s="89">
        <f t="shared" si="0"/>
        <v>0</v>
      </c>
      <c r="H23" s="12" t="str">
        <f t="shared" si="2"/>
        <v/>
      </c>
      <c r="I23" s="8"/>
      <c r="K23" s="8"/>
      <c r="L23" s="8"/>
      <c r="M23" s="8"/>
      <c r="N23" s="8"/>
      <c r="O23" s="94"/>
      <c r="Q23" s="481"/>
      <c r="R23" s="483" t="str">
        <f t="shared" si="1"/>
        <v/>
      </c>
      <c r="S23" s="481"/>
      <c r="T23" s="481"/>
    </row>
    <row r="24" spans="2:20" ht="13" x14ac:dyDescent="0.3">
      <c r="B24" s="92"/>
      <c r="C24" s="347"/>
      <c r="D24" s="348"/>
      <c r="E24" s="349"/>
      <c r="F24" s="349"/>
      <c r="G24" s="350">
        <f t="shared" si="0"/>
        <v>0</v>
      </c>
      <c r="H24" s="351" t="str">
        <f t="shared" si="2"/>
        <v/>
      </c>
      <c r="I24" s="8">
        <v>4</v>
      </c>
      <c r="K24" s="8"/>
      <c r="L24" s="8"/>
      <c r="M24" s="8"/>
      <c r="N24" s="8"/>
      <c r="O24" s="94"/>
      <c r="Q24" s="481"/>
      <c r="R24" s="483" t="str">
        <f t="shared" si="1"/>
        <v/>
      </c>
      <c r="S24" s="481"/>
      <c r="T24" s="481"/>
    </row>
    <row r="25" spans="2:20" ht="13" x14ac:dyDescent="0.3">
      <c r="B25" s="92"/>
      <c r="C25" s="347"/>
      <c r="D25" s="348"/>
      <c r="E25" s="349"/>
      <c r="F25" s="349"/>
      <c r="G25" s="350">
        <f t="shared" si="0"/>
        <v>0</v>
      </c>
      <c r="H25" s="351" t="str">
        <f t="shared" si="2"/>
        <v/>
      </c>
      <c r="I25" s="8"/>
      <c r="K25" s="8"/>
      <c r="L25" s="8"/>
      <c r="M25" s="8"/>
      <c r="N25" s="8"/>
      <c r="O25" s="94"/>
      <c r="Q25" s="481"/>
      <c r="R25" s="483" t="str">
        <f t="shared" si="1"/>
        <v/>
      </c>
      <c r="S25" s="481"/>
      <c r="T25" s="481"/>
    </row>
    <row r="26" spans="2:20" ht="13" x14ac:dyDescent="0.3">
      <c r="B26" s="92"/>
      <c r="C26" s="342"/>
      <c r="D26" s="340"/>
      <c r="E26" s="341"/>
      <c r="F26" s="341"/>
      <c r="G26" s="89">
        <f t="shared" si="0"/>
        <v>0</v>
      </c>
      <c r="H26" s="12" t="str">
        <f t="shared" si="2"/>
        <v/>
      </c>
      <c r="I26" s="8">
        <v>5</v>
      </c>
      <c r="K26" s="8"/>
      <c r="L26" s="8"/>
      <c r="M26" s="8"/>
      <c r="N26" s="8"/>
      <c r="O26" s="94"/>
      <c r="Q26" s="481"/>
      <c r="R26" s="483" t="str">
        <f t="shared" si="1"/>
        <v/>
      </c>
      <c r="S26" s="481"/>
      <c r="T26" s="481"/>
    </row>
    <row r="27" spans="2:20" ht="13" x14ac:dyDescent="0.3">
      <c r="B27" s="92"/>
      <c r="C27" s="342"/>
      <c r="D27" s="340"/>
      <c r="E27" s="341"/>
      <c r="F27" s="341"/>
      <c r="G27" s="89">
        <f t="shared" si="0"/>
        <v>0</v>
      </c>
      <c r="H27" s="12" t="str">
        <f t="shared" si="2"/>
        <v/>
      </c>
      <c r="I27" s="8"/>
      <c r="K27" s="8"/>
      <c r="L27" s="8"/>
      <c r="M27" s="8"/>
      <c r="N27" s="8"/>
      <c r="O27" s="94"/>
      <c r="Q27" s="481"/>
      <c r="R27" s="483" t="str">
        <f t="shared" si="1"/>
        <v/>
      </c>
      <c r="S27" s="481"/>
      <c r="T27" s="481"/>
    </row>
    <row r="28" spans="2:20" ht="13" x14ac:dyDescent="0.3">
      <c r="B28" s="92"/>
      <c r="C28" s="347"/>
      <c r="D28" s="348"/>
      <c r="E28" s="349"/>
      <c r="F28" s="349"/>
      <c r="G28" s="350">
        <f t="shared" si="0"/>
        <v>0</v>
      </c>
      <c r="H28" s="351" t="str">
        <f t="shared" si="2"/>
        <v/>
      </c>
      <c r="I28" s="8">
        <v>6</v>
      </c>
      <c r="K28" s="8"/>
      <c r="L28" s="8"/>
      <c r="M28" s="8"/>
      <c r="N28" s="8"/>
      <c r="O28" s="94"/>
      <c r="Q28" s="481"/>
      <c r="R28" s="483" t="str">
        <f t="shared" si="1"/>
        <v/>
      </c>
      <c r="S28" s="481"/>
      <c r="T28" s="481"/>
    </row>
    <row r="29" spans="2:20" ht="13" x14ac:dyDescent="0.3">
      <c r="B29" s="92"/>
      <c r="C29" s="347"/>
      <c r="D29" s="348"/>
      <c r="E29" s="349"/>
      <c r="F29" s="349"/>
      <c r="G29" s="350">
        <f t="shared" si="0"/>
        <v>0</v>
      </c>
      <c r="H29" s="351" t="str">
        <f t="shared" si="2"/>
        <v/>
      </c>
      <c r="I29" s="8"/>
      <c r="K29" s="8"/>
      <c r="L29" s="8"/>
      <c r="M29" s="8"/>
      <c r="N29" s="8"/>
      <c r="O29" s="94"/>
      <c r="Q29" s="481"/>
      <c r="R29" s="483" t="str">
        <f t="shared" si="1"/>
        <v/>
      </c>
      <c r="S29" s="481"/>
      <c r="T29" s="481"/>
    </row>
    <row r="30" spans="2:20" ht="13" x14ac:dyDescent="0.3">
      <c r="B30" s="92"/>
      <c r="C30" s="342"/>
      <c r="D30" s="340"/>
      <c r="E30" s="341"/>
      <c r="F30" s="343"/>
      <c r="G30" s="89">
        <f t="shared" si="0"/>
        <v>0</v>
      </c>
      <c r="H30" s="12" t="str">
        <f t="shared" si="2"/>
        <v/>
      </c>
      <c r="I30" s="8">
        <v>7</v>
      </c>
      <c r="K30" s="8"/>
      <c r="L30" s="8"/>
      <c r="M30" s="8"/>
      <c r="N30" s="8"/>
      <c r="O30" s="94"/>
      <c r="Q30" s="481"/>
      <c r="R30" s="483" t="str">
        <f t="shared" si="1"/>
        <v/>
      </c>
      <c r="S30" s="481"/>
      <c r="T30" s="481"/>
    </row>
    <row r="31" spans="2:20" ht="13" x14ac:dyDescent="0.3">
      <c r="B31" s="92"/>
      <c r="C31" s="342"/>
      <c r="D31" s="340"/>
      <c r="E31" s="341"/>
      <c r="F31" s="341"/>
      <c r="G31" s="89">
        <f t="shared" si="0"/>
        <v>0</v>
      </c>
      <c r="H31" s="12" t="str">
        <f t="shared" si="2"/>
        <v/>
      </c>
      <c r="I31" s="8"/>
      <c r="K31" s="8"/>
      <c r="L31" s="8"/>
      <c r="M31" s="8"/>
      <c r="N31" s="8"/>
      <c r="O31" s="94"/>
      <c r="Q31" s="481"/>
      <c r="R31" s="483" t="str">
        <f t="shared" si="1"/>
        <v/>
      </c>
      <c r="S31" s="481"/>
      <c r="T31" s="481"/>
    </row>
    <row r="32" spans="2:20" ht="13" x14ac:dyDescent="0.3">
      <c r="B32" s="92"/>
      <c r="C32" s="347"/>
      <c r="D32" s="348"/>
      <c r="E32" s="349"/>
      <c r="F32" s="349"/>
      <c r="G32" s="350">
        <f t="shared" si="0"/>
        <v>0</v>
      </c>
      <c r="H32" s="351" t="str">
        <f t="shared" si="2"/>
        <v/>
      </c>
      <c r="I32" s="8">
        <v>8</v>
      </c>
      <c r="K32" s="8"/>
      <c r="L32" s="8"/>
      <c r="M32" s="8"/>
      <c r="N32" s="8"/>
      <c r="O32" s="94"/>
      <c r="Q32" s="481"/>
      <c r="R32" s="483" t="str">
        <f t="shared" si="1"/>
        <v/>
      </c>
      <c r="S32" s="481"/>
      <c r="T32" s="481"/>
    </row>
    <row r="33" spans="2:20" ht="13" x14ac:dyDescent="0.3">
      <c r="B33" s="92"/>
      <c r="C33" s="347"/>
      <c r="D33" s="348"/>
      <c r="E33" s="349"/>
      <c r="F33" s="349"/>
      <c r="G33" s="350">
        <f t="shared" si="0"/>
        <v>0</v>
      </c>
      <c r="H33" s="351" t="str">
        <f t="shared" si="2"/>
        <v/>
      </c>
      <c r="I33" s="8"/>
      <c r="K33" s="8"/>
      <c r="L33" s="8"/>
      <c r="M33" s="8"/>
      <c r="N33" s="8"/>
      <c r="O33" s="94"/>
      <c r="Q33" s="481"/>
      <c r="R33" s="483" t="str">
        <f t="shared" si="1"/>
        <v/>
      </c>
      <c r="S33" s="481"/>
      <c r="T33" s="481"/>
    </row>
    <row r="34" spans="2:20" ht="13" x14ac:dyDescent="0.3">
      <c r="B34" s="92"/>
      <c r="C34" s="342"/>
      <c r="D34" s="340"/>
      <c r="E34" s="341"/>
      <c r="F34" s="341"/>
      <c r="G34" s="89">
        <f t="shared" si="0"/>
        <v>0</v>
      </c>
      <c r="H34" s="12" t="str">
        <f t="shared" si="2"/>
        <v/>
      </c>
      <c r="I34" s="8">
        <v>9</v>
      </c>
      <c r="K34" s="8"/>
      <c r="L34" s="8"/>
      <c r="M34" s="8"/>
      <c r="N34" s="8"/>
      <c r="O34" s="94"/>
      <c r="Q34" s="481"/>
      <c r="R34" s="483" t="str">
        <f t="shared" si="1"/>
        <v/>
      </c>
      <c r="S34" s="481"/>
      <c r="T34" s="481"/>
    </row>
    <row r="35" spans="2:20" ht="13" x14ac:dyDescent="0.3">
      <c r="B35" s="92"/>
      <c r="C35" s="342"/>
      <c r="D35" s="340"/>
      <c r="E35" s="341"/>
      <c r="F35" s="341"/>
      <c r="G35" s="89">
        <f t="shared" si="0"/>
        <v>0</v>
      </c>
      <c r="H35" s="12" t="str">
        <f t="shared" si="2"/>
        <v/>
      </c>
      <c r="I35" s="8"/>
      <c r="K35" s="8"/>
      <c r="L35" s="8"/>
      <c r="M35" s="8"/>
      <c r="N35" s="8"/>
      <c r="O35" s="94"/>
      <c r="Q35" s="481"/>
      <c r="R35" s="483" t="str">
        <f t="shared" si="1"/>
        <v/>
      </c>
      <c r="S35" s="481"/>
      <c r="T35" s="481"/>
    </row>
    <row r="36" spans="2:20" ht="13" x14ac:dyDescent="0.3">
      <c r="B36" s="92"/>
      <c r="C36" s="347"/>
      <c r="D36" s="348"/>
      <c r="E36" s="349"/>
      <c r="F36" s="349"/>
      <c r="G36" s="350">
        <f t="shared" si="0"/>
        <v>0</v>
      </c>
      <c r="H36" s="351" t="str">
        <f t="shared" si="2"/>
        <v/>
      </c>
      <c r="I36" s="8">
        <v>10</v>
      </c>
      <c r="K36" s="8"/>
      <c r="L36" s="8"/>
      <c r="M36" s="8"/>
      <c r="N36" s="8"/>
      <c r="O36" s="94"/>
      <c r="Q36" s="481"/>
      <c r="R36" s="483" t="str">
        <f t="shared" si="1"/>
        <v/>
      </c>
      <c r="S36" s="481"/>
      <c r="T36" s="481"/>
    </row>
    <row r="37" spans="2:20" ht="13" x14ac:dyDescent="0.3">
      <c r="B37" s="92"/>
      <c r="C37" s="347"/>
      <c r="D37" s="348"/>
      <c r="E37" s="349"/>
      <c r="F37" s="349"/>
      <c r="G37" s="350">
        <f t="shared" si="0"/>
        <v>0</v>
      </c>
      <c r="H37" s="351" t="str">
        <f t="shared" si="2"/>
        <v/>
      </c>
      <c r="I37" s="8"/>
      <c r="K37" s="8"/>
      <c r="L37" s="8"/>
      <c r="M37" s="8"/>
      <c r="N37" s="8"/>
      <c r="O37" s="94"/>
      <c r="Q37" s="481"/>
      <c r="R37" s="483" t="str">
        <f t="shared" si="1"/>
        <v/>
      </c>
      <c r="S37" s="481"/>
      <c r="T37" s="481"/>
    </row>
    <row r="38" spans="2:20" ht="13" x14ac:dyDescent="0.3">
      <c r="B38" s="92"/>
      <c r="C38" s="342"/>
      <c r="D38" s="340"/>
      <c r="E38" s="341"/>
      <c r="F38" s="341"/>
      <c r="G38" s="89">
        <f t="shared" si="0"/>
        <v>0</v>
      </c>
      <c r="H38" s="12" t="str">
        <f t="shared" si="2"/>
        <v/>
      </c>
      <c r="I38" s="8">
        <v>11</v>
      </c>
      <c r="K38" s="424"/>
      <c r="L38" s="8"/>
      <c r="M38" s="8"/>
      <c r="N38" s="8"/>
      <c r="O38" s="94"/>
      <c r="Q38" s="481"/>
      <c r="R38" s="483" t="str">
        <f t="shared" si="1"/>
        <v/>
      </c>
      <c r="S38" s="481"/>
      <c r="T38" s="481"/>
    </row>
    <row r="39" spans="2:20" ht="13" x14ac:dyDescent="0.3">
      <c r="B39" s="92"/>
      <c r="C39" s="342"/>
      <c r="D39" s="340"/>
      <c r="E39" s="341"/>
      <c r="F39" s="341"/>
      <c r="G39" s="89">
        <f t="shared" si="0"/>
        <v>0</v>
      </c>
      <c r="H39" s="12" t="str">
        <f t="shared" si="2"/>
        <v/>
      </c>
      <c r="I39" s="8"/>
      <c r="K39" s="486"/>
      <c r="L39" s="8"/>
      <c r="M39" s="8"/>
      <c r="N39" s="8"/>
      <c r="O39" s="94"/>
      <c r="Q39" s="481"/>
      <c r="R39" s="483" t="str">
        <f t="shared" si="1"/>
        <v/>
      </c>
      <c r="S39" s="481"/>
      <c r="T39" s="481"/>
    </row>
    <row r="40" spans="2:20" ht="13" x14ac:dyDescent="0.3">
      <c r="B40" s="92"/>
      <c r="C40" s="347"/>
      <c r="D40" s="348"/>
      <c r="E40" s="349"/>
      <c r="F40" s="349"/>
      <c r="G40" s="350">
        <f t="shared" si="0"/>
        <v>0</v>
      </c>
      <c r="H40" s="351" t="str">
        <f t="shared" si="2"/>
        <v/>
      </c>
      <c r="I40" s="8">
        <v>12</v>
      </c>
      <c r="K40" s="486"/>
      <c r="L40" s="8"/>
      <c r="M40" s="8"/>
      <c r="N40" s="8"/>
      <c r="O40" s="94"/>
      <c r="Q40" s="481"/>
      <c r="R40" s="483" t="str">
        <f t="shared" si="1"/>
        <v/>
      </c>
      <c r="S40" s="481"/>
      <c r="T40" s="481"/>
    </row>
    <row r="41" spans="2:20" ht="13" x14ac:dyDescent="0.3">
      <c r="B41" s="92"/>
      <c r="C41" s="347"/>
      <c r="D41" s="348"/>
      <c r="E41" s="349"/>
      <c r="F41" s="349"/>
      <c r="G41" s="350">
        <f t="shared" si="0"/>
        <v>0</v>
      </c>
      <c r="H41" s="351" t="str">
        <f t="shared" si="2"/>
        <v/>
      </c>
      <c r="I41" s="8"/>
      <c r="K41" s="424"/>
      <c r="L41" s="8"/>
      <c r="M41" s="8"/>
      <c r="N41" s="8"/>
      <c r="O41" s="94"/>
      <c r="Q41" s="481"/>
      <c r="R41" s="483" t="str">
        <f t="shared" si="1"/>
        <v/>
      </c>
      <c r="S41" s="481"/>
      <c r="T41" s="481"/>
    </row>
    <row r="42" spans="2:20" ht="13" x14ac:dyDescent="0.3">
      <c r="B42" s="92"/>
      <c r="C42" s="342"/>
      <c r="D42" s="340"/>
      <c r="E42" s="341"/>
      <c r="F42" s="341"/>
      <c r="G42" s="89">
        <f t="shared" si="0"/>
        <v>0</v>
      </c>
      <c r="H42" s="12" t="str">
        <f t="shared" si="2"/>
        <v/>
      </c>
      <c r="I42" s="8">
        <v>13</v>
      </c>
      <c r="K42" s="8"/>
      <c r="L42" s="8"/>
      <c r="M42" s="8"/>
      <c r="N42" s="8"/>
      <c r="O42" s="94"/>
      <c r="Q42" s="481"/>
      <c r="R42" s="483" t="str">
        <f t="shared" si="1"/>
        <v/>
      </c>
      <c r="S42" s="481"/>
      <c r="T42" s="481"/>
    </row>
    <row r="43" spans="2:20" ht="13" x14ac:dyDescent="0.3">
      <c r="B43" s="92"/>
      <c r="C43" s="342"/>
      <c r="D43" s="340"/>
      <c r="E43" s="341"/>
      <c r="F43" s="341"/>
      <c r="G43" s="89">
        <f t="shared" si="0"/>
        <v>0</v>
      </c>
      <c r="H43" s="12" t="str">
        <f t="shared" si="2"/>
        <v/>
      </c>
      <c r="I43" s="8"/>
      <c r="K43" s="8"/>
      <c r="L43" s="8"/>
      <c r="M43" s="8"/>
      <c r="N43" s="8"/>
      <c r="O43" s="94"/>
      <c r="Q43" s="481"/>
      <c r="R43" s="483" t="str">
        <f t="shared" si="1"/>
        <v/>
      </c>
      <c r="S43" s="481"/>
      <c r="T43" s="481"/>
    </row>
    <row r="44" spans="2:20" ht="13" x14ac:dyDescent="0.3">
      <c r="B44" s="92"/>
      <c r="C44" s="347"/>
      <c r="D44" s="348"/>
      <c r="E44" s="349"/>
      <c r="F44" s="349"/>
      <c r="G44" s="350">
        <f t="shared" si="0"/>
        <v>0</v>
      </c>
      <c r="H44" s="351" t="str">
        <f t="shared" si="2"/>
        <v/>
      </c>
      <c r="I44" s="8">
        <v>14</v>
      </c>
      <c r="K44" s="8"/>
      <c r="L44" s="8"/>
      <c r="M44" s="8"/>
      <c r="N44" s="8"/>
      <c r="O44" s="94"/>
      <c r="Q44" s="481"/>
      <c r="R44" s="483" t="str">
        <f t="shared" si="1"/>
        <v/>
      </c>
      <c r="S44" s="481"/>
      <c r="T44" s="481"/>
    </row>
    <row r="45" spans="2:20" ht="13" x14ac:dyDescent="0.3">
      <c r="B45" s="92"/>
      <c r="C45" s="347"/>
      <c r="D45" s="348"/>
      <c r="E45" s="349"/>
      <c r="F45" s="349"/>
      <c r="G45" s="350">
        <f t="shared" si="0"/>
        <v>0</v>
      </c>
      <c r="H45" s="351" t="str">
        <f t="shared" si="2"/>
        <v/>
      </c>
      <c r="I45" s="8"/>
      <c r="L45" s="8"/>
      <c r="M45" s="8"/>
      <c r="N45" s="8"/>
      <c r="O45" s="94"/>
      <c r="Q45" s="481"/>
      <c r="R45" s="483" t="str">
        <f t="shared" si="1"/>
        <v/>
      </c>
      <c r="S45" s="481"/>
      <c r="T45" s="481"/>
    </row>
    <row r="46" spans="2:20" ht="13" x14ac:dyDescent="0.3">
      <c r="B46" s="92"/>
      <c r="C46" s="342"/>
      <c r="D46" s="340"/>
      <c r="E46" s="341"/>
      <c r="F46" s="341"/>
      <c r="G46" s="89">
        <f t="shared" si="0"/>
        <v>0</v>
      </c>
      <c r="H46" s="12" t="str">
        <f t="shared" si="2"/>
        <v/>
      </c>
      <c r="I46" s="8">
        <v>15</v>
      </c>
      <c r="L46" s="8"/>
      <c r="M46" s="8"/>
      <c r="N46" s="8"/>
      <c r="O46" s="94"/>
      <c r="Q46" s="481"/>
      <c r="R46" s="483" t="str">
        <f t="shared" si="1"/>
        <v/>
      </c>
      <c r="S46" s="481"/>
      <c r="T46" s="481"/>
    </row>
    <row r="47" spans="2:20" ht="13" x14ac:dyDescent="0.3">
      <c r="B47" s="92"/>
      <c r="C47" s="342"/>
      <c r="D47" s="340"/>
      <c r="E47" s="341"/>
      <c r="F47" s="341"/>
      <c r="G47" s="89">
        <f t="shared" si="0"/>
        <v>0</v>
      </c>
      <c r="H47" s="12" t="str">
        <f t="shared" si="2"/>
        <v/>
      </c>
      <c r="I47" s="8"/>
      <c r="L47" s="8"/>
      <c r="M47" s="8"/>
      <c r="N47" s="8"/>
      <c r="O47" s="94"/>
      <c r="Q47" s="481"/>
      <c r="R47" s="483" t="str">
        <f t="shared" si="1"/>
        <v/>
      </c>
      <c r="S47" s="481"/>
      <c r="T47" s="481"/>
    </row>
    <row r="48" spans="2:20" ht="13" x14ac:dyDescent="0.3">
      <c r="B48" s="92"/>
      <c r="C48" s="8"/>
      <c r="D48" s="8"/>
      <c r="E48" s="430" t="str">
        <f>IF(COUNT(E16:E47)=COUNT(F16:F47),"", "Please enter complete fill periods (i.e., equal number of min and max levels)!")</f>
        <v/>
      </c>
      <c r="F48" s="428"/>
      <c r="G48" s="8"/>
      <c r="H48" s="8"/>
      <c r="I48" s="8"/>
      <c r="J48" s="8"/>
      <c r="L48" s="8"/>
      <c r="M48" s="8"/>
      <c r="N48" s="8"/>
      <c r="O48" s="94"/>
      <c r="Q48" s="481"/>
      <c r="R48" s="481"/>
      <c r="S48" s="481"/>
      <c r="T48" s="481"/>
    </row>
    <row r="49" spans="2:20" ht="27" customHeight="1" thickBot="1" x14ac:dyDescent="0.35">
      <c r="B49" s="92"/>
      <c r="C49" s="8"/>
      <c r="D49" s="8"/>
      <c r="E49" s="429"/>
      <c r="F49" s="429"/>
      <c r="G49" s="8"/>
      <c r="H49" s="8"/>
      <c r="I49" s="8"/>
      <c r="J49" s="8"/>
      <c r="L49" s="8"/>
      <c r="M49" s="8"/>
      <c r="N49" s="8"/>
      <c r="O49" s="94"/>
      <c r="Q49" s="481"/>
      <c r="R49" s="481"/>
      <c r="S49" s="481"/>
      <c r="T49" s="481"/>
    </row>
    <row r="50" spans="2:20" x14ac:dyDescent="0.25">
      <c r="B50" s="92"/>
      <c r="C50" s="17" t="s">
        <v>0</v>
      </c>
      <c r="D50" s="18" t="str">
        <f>IF(D8="y","Vol at Start of Fill","Low/Min Level")</f>
        <v>Low/Min Level</v>
      </c>
      <c r="E50" s="18" t="str">
        <f>IF(D8="y","Vol at End of Fill","High/Max Level")</f>
        <v>High/Max Level</v>
      </c>
      <c r="F50" s="18" t="s">
        <v>13</v>
      </c>
      <c r="G50" s="67" t="s">
        <v>16</v>
      </c>
      <c r="H50" s="18" t="s">
        <v>41</v>
      </c>
      <c r="I50" s="70" t="s">
        <v>6</v>
      </c>
      <c r="J50" s="433" t="s">
        <v>11</v>
      </c>
      <c r="K50" s="434"/>
      <c r="L50" s="435"/>
      <c r="M50" s="51"/>
      <c r="N50" s="52"/>
      <c r="O50" s="94"/>
      <c r="P50" s="487"/>
      <c r="Q50" s="481"/>
      <c r="R50" s="481"/>
      <c r="S50" s="481"/>
      <c r="T50" s="481"/>
    </row>
    <row r="51" spans="2:20" ht="12.75" customHeight="1" x14ac:dyDescent="0.25">
      <c r="B51" s="92"/>
      <c r="C51" s="19"/>
      <c r="D51" s="20"/>
      <c r="E51" s="20"/>
      <c r="F51" s="20" t="s">
        <v>14</v>
      </c>
      <c r="G51" s="68" t="s">
        <v>15</v>
      </c>
      <c r="H51" s="20" t="s">
        <v>42</v>
      </c>
      <c r="I51" s="71" t="s">
        <v>15</v>
      </c>
      <c r="J51" s="20" t="s">
        <v>9</v>
      </c>
      <c r="K51" s="493" t="s">
        <v>232</v>
      </c>
      <c r="L51" s="46" t="s">
        <v>12</v>
      </c>
      <c r="M51" s="20" t="s">
        <v>24</v>
      </c>
      <c r="N51" s="23" t="s">
        <v>25</v>
      </c>
      <c r="O51" s="94"/>
      <c r="P51" s="8"/>
      <c r="Q51" s="481"/>
      <c r="R51" s="481"/>
      <c r="S51" s="481"/>
      <c r="T51" s="481"/>
    </row>
    <row r="52" spans="2:20" ht="26.25" customHeight="1" thickBot="1" x14ac:dyDescent="0.3">
      <c r="B52" s="92"/>
      <c r="C52" s="21"/>
      <c r="D52" s="22" t="str">
        <f>IF(D8="y","(gal)","(ft)")</f>
        <v>(ft)</v>
      </c>
      <c r="E52" s="22" t="str">
        <f>IF(D8="y","(gal)","(ft)")</f>
        <v>(ft)</v>
      </c>
      <c r="F52" s="22" t="s">
        <v>17</v>
      </c>
      <c r="G52" s="69" t="s">
        <v>17</v>
      </c>
      <c r="H52" s="22" t="s">
        <v>17</v>
      </c>
      <c r="I52" s="72" t="s">
        <v>17</v>
      </c>
      <c r="J52" s="305" t="s">
        <v>32</v>
      </c>
      <c r="K52" s="491" t="s">
        <v>233</v>
      </c>
      <c r="L52" s="305" t="s">
        <v>32</v>
      </c>
      <c r="M52" s="22" t="s">
        <v>58</v>
      </c>
      <c r="N52" s="87" t="s">
        <v>58</v>
      </c>
      <c r="O52" s="94"/>
      <c r="Q52" s="481"/>
      <c r="R52" s="481"/>
      <c r="S52" s="481"/>
      <c r="T52" s="481"/>
    </row>
    <row r="53" spans="2:20" ht="13" thickTop="1" x14ac:dyDescent="0.25">
      <c r="B53" s="92">
        <f t="shared" ref="B53:B67" si="3">IF(D53=0,0,1)</f>
        <v>0</v>
      </c>
      <c r="C53" s="73">
        <v>1</v>
      </c>
      <c r="D53" s="74">
        <f>IF(ISBLANK(E18),E19,E18)</f>
        <v>0</v>
      </c>
      <c r="E53" s="74">
        <f>IF(ISBLANK(F18),F19,F18)</f>
        <v>0</v>
      </c>
      <c r="F53" s="86" t="str">
        <f>IF(OR($D$7="c",$D$7="h"),($D53)*PI()*($D$10/2)^2*7.48/10^6,IF($D$7="r",$D53*$D$10*$D$11*7.48/10^6,IF($D$8="y",$D53/10^6,"error")))</f>
        <v>error</v>
      </c>
      <c r="G53" s="86" t="str">
        <f>IF(OR($D$7="c",$D$7="h"),($E53-$D53)*PI()*($D$10/2)^2*7.48/10^6,IF($D$7="r",($E53-$D53)*$D$10*$D$11*7.48/10^6,IF($D$8="y",($E53-$D53)/10^6,"error")))</f>
        <v>error</v>
      </c>
      <c r="H53" s="49"/>
      <c r="I53" s="75" t="str">
        <f>IF(D53+E53=0,"n/a",IF(OR($D$7="c",$D$7="h"),((D53+E53)/2)*PI()*($D$10/2)^2*7.48/10^6,IF($D$7="r",((D53+E53)/2)*$D$10*$D$11*7.48/10^6,IF($D$8="y",((D53+E53)/2)/10^6,""))))</f>
        <v>n/a</v>
      </c>
      <c r="J53" s="49" t="e">
        <f t="shared" ref="J53:J67" si="4">IF(G53=0,"n/a",G53/F53)</f>
        <v>#VALUE!</v>
      </c>
      <c r="K53" s="492" t="str">
        <f>IF(AND('Tank Summary'!$S$16="y",'Tank Summary'!$S$15 = "n"), IF(E53&lt;=$D$10, 10.2, 3.58*(E53/$D$10)+6.66), IF(AND('Tank Summary'!$R$16="y", 'Tank Summary'!$R$15="y"),IF(E53 &lt;= (PI()/4)*$D$10^3, 10.2, 3.58*(E53/$D$12)+6.66), "Tank mixing equations do not apply"))</f>
        <v>Tank mixing equations do not apply</v>
      </c>
      <c r="L53" s="76" t="e">
        <f>IF(F53=0,"n/a",((K53/1.13)*$D$13)/((F53*10^6/7.48)^(1/3)))</f>
        <v>#VALUE!</v>
      </c>
      <c r="M53" s="49" t="str">
        <f>IF(ISERROR(H19-H18),"n/a",IF(ISBLANK(E18), "n/a",H19-H18))</f>
        <v>n/a</v>
      </c>
      <c r="N53" s="50" t="str">
        <f>IF(ISERROR(H19-H18),"n/a",IF(ISBLANK(E18), H19-H18,"n/a"))</f>
        <v>n/a</v>
      </c>
      <c r="O53" s="94"/>
      <c r="Q53" s="481"/>
      <c r="R53" s="481"/>
      <c r="S53" s="481"/>
      <c r="T53" s="481"/>
    </row>
    <row r="54" spans="2:20" x14ac:dyDescent="0.25">
      <c r="B54" s="92">
        <f t="shared" si="3"/>
        <v>0</v>
      </c>
      <c r="C54" s="77">
        <v>2</v>
      </c>
      <c r="D54" s="74">
        <f>IF(ISBLANK(E20),E21,E20)</f>
        <v>0</v>
      </c>
      <c r="E54" s="74">
        <f>IF(ISBLANK(F20),F21,F20)</f>
        <v>0</v>
      </c>
      <c r="F54" s="32" t="str">
        <f>IF(OR($D$7="c",$D$7="h"),($D54)*PI()*($D$10/2)^2*7.48/10^6,IF($D$7="r",$D54*$D$10*$D$11*7.48/10^6,IF($D$8="y",$D54/10^6,"error")))</f>
        <v>error</v>
      </c>
      <c r="G54" s="32" t="str">
        <f>IF(OR($D$7="c",$D$7="h"),($E54-$D54)*PI()*($D$10/2)^2*7.48/10^6,IF($D$7="r",($E54-$D54)*$D$10*$D$11*7.48/10^6,IF($D$8="y",($E54-$D54)/10^6,"error")))</f>
        <v>error</v>
      </c>
      <c r="H54" s="49" t="str">
        <f>IF(D54,IF(OR($D$7="c",$D$7="h"),($E53-$D54)*PI()*($D$10/2)^2*7.48/10^6,IF($D$7="r",($E53-$D54)*$D$10*$D$11*7.48/10^6,IF($D$8="y",($E53-$D54)/10^6,""))),"")</f>
        <v/>
      </c>
      <c r="I54" s="75" t="str">
        <f>IF(D54+E54=0,"n/a",IF(OR($D$7="c",$D$7="h"),((D54+E54)/2)*PI()*($D$10/2)^2*7.48/10^6,IF($D$7="r",((D54+E54)/2)*$D$10*$D$11*7.48/10^6,IF($D$8="y",((D54+E54)/2)/10^6,""))))</f>
        <v>n/a</v>
      </c>
      <c r="J54" s="11" t="e">
        <f t="shared" si="4"/>
        <v>#VALUE!</v>
      </c>
      <c r="K54" s="492" t="str">
        <f>IF(AND('Tank Summary'!$S$16="y",'Tank Summary'!$S$15 = "n"), IF(E54&lt;=$D$10, 10.2, 3.58*(E54/$D$10)+6.66), IF(AND('Tank Summary'!$R$16="y", 'Tank Summary'!$R$15="y"),IF(E54 &lt;= (PI()/4)*$D$10^3, 10.2, 3.58*(E54/$D$12)+6.66), "Tank mixing equations do not apply"))</f>
        <v>Tank mixing equations do not apply</v>
      </c>
      <c r="L54" s="76" t="e">
        <f t="shared" ref="L54:L67" si="5">IF(F54=0,"n/a",((K54/1.13)*$D$13)/((F54*10^6/7.48)^(1/3)))</f>
        <v>#VALUE!</v>
      </c>
      <c r="M54" s="11" t="str">
        <f>IF(ISERROR(H21-H20),"n/a",IF(ISBLANK(E20), H20-H19,H21-H20))</f>
        <v>n/a</v>
      </c>
      <c r="N54" s="47" t="str">
        <f>IF(ISERROR(H21-H20),"n/a",IF(ISBLANK(E20), H21-H20,H20-H19))</f>
        <v>n/a</v>
      </c>
      <c r="O54" s="94"/>
      <c r="Q54" s="481"/>
      <c r="R54" s="481"/>
      <c r="S54" s="481"/>
      <c r="T54" s="481"/>
    </row>
    <row r="55" spans="2:20" x14ac:dyDescent="0.25">
      <c r="B55" s="92">
        <f t="shared" si="3"/>
        <v>0</v>
      </c>
      <c r="C55" s="77">
        <v>3</v>
      </c>
      <c r="D55" s="74">
        <f>IF(ISBLANK(E22),E23,E22)</f>
        <v>0</v>
      </c>
      <c r="E55" s="74">
        <f>IF(ISBLANK(F22),F23,F22)</f>
        <v>0</v>
      </c>
      <c r="F55" s="32" t="str">
        <f t="shared" ref="F55:F67" si="6">IF(OR($D$7="c",$D$7="h"),($D55)*PI()*($D$10/2)^2*7.48/10^6,IF($D$7="r",$D55*$D$10*$D$11*7.48/10^6,IF($D$8="y",$D55/10^6,"error")))</f>
        <v>error</v>
      </c>
      <c r="G55" s="32" t="str">
        <f t="shared" ref="G55:G67" si="7">IF(OR($D$7="c",$D$7="h"),($E55-$D55)*PI()*($D$10/2)^2*7.48/10^6,IF($D$7="r",($E55-$D55)*$D$10*$D$11*7.48/10^6,IF($D$8="y",($E55-$D55)/10^6,"error")))</f>
        <v>error</v>
      </c>
      <c r="H55" s="49" t="str">
        <f t="shared" ref="H55:H67" si="8">IF(D55,IF(OR($D$7="c",$D$7="h"),($E54-$D55)*PI()*($D$10/2)^2*7.48/10^6,IF($D$7="r",($E54-$D55)*$D$10*$D$11*7.48/10^6,IF($D$8="y",($E54-$D55)/10^6,""))),"")</f>
        <v/>
      </c>
      <c r="I55" s="75" t="str">
        <f t="shared" ref="I55:I67" si="9">IF(D55+E55=0,"n/a",IF(OR($D$7="c",$D$7="h"),((D55+E55)/2)*PI()*($D$10/2)^2*7.48/10^6,IF($D$7="r",((D55+E55)/2)*$D$10*$D$11*7.48/10^6,IF($D$8="y",((D55+E55)/2)/10^6,""))))</f>
        <v>n/a</v>
      </c>
      <c r="J55" s="11" t="e">
        <f t="shared" si="4"/>
        <v>#VALUE!</v>
      </c>
      <c r="K55" s="492" t="str">
        <f>IF(AND('Tank Summary'!$S$16="y",'Tank Summary'!$S$15 = "n"), IF(E55&lt;=$D$10, 10.2, 3.58*(E55/$D$10)+6.66), IF(AND('Tank Summary'!$R$16="y", 'Tank Summary'!$R$15="y"),IF(E55 &lt;= (PI()/4)*$D$10^3, 10.2, 3.58*(E55/$D$12)+6.66), "Tank mixing equations do not apply"))</f>
        <v>Tank mixing equations do not apply</v>
      </c>
      <c r="L55" s="76" t="e">
        <f t="shared" si="5"/>
        <v>#VALUE!</v>
      </c>
      <c r="M55" s="11" t="str">
        <f>IF(ISERROR(H23-H22),"n/a",IF(ISBLANK(E22), H22-H21,H23-H22))</f>
        <v>n/a</v>
      </c>
      <c r="N55" s="47" t="str">
        <f>IF(ISERROR(H23-H22),"n/a",IF(ISBLANK(E22), H23-H22,H22-H21))</f>
        <v>n/a</v>
      </c>
      <c r="O55" s="94"/>
      <c r="Q55" s="481"/>
      <c r="R55" s="481"/>
      <c r="S55" s="481"/>
      <c r="T55" s="481"/>
    </row>
    <row r="56" spans="2:20" x14ac:dyDescent="0.25">
      <c r="B56" s="92">
        <f t="shared" si="3"/>
        <v>0</v>
      </c>
      <c r="C56" s="77">
        <v>4</v>
      </c>
      <c r="D56" s="74">
        <f>IF(ISBLANK(E24),E25,E24)</f>
        <v>0</v>
      </c>
      <c r="E56" s="74">
        <f>IF(ISBLANK(F24),F25,F24)</f>
        <v>0</v>
      </c>
      <c r="F56" s="32" t="str">
        <f t="shared" si="6"/>
        <v>error</v>
      </c>
      <c r="G56" s="32" t="str">
        <f t="shared" si="7"/>
        <v>error</v>
      </c>
      <c r="H56" s="49" t="str">
        <f t="shared" si="8"/>
        <v/>
      </c>
      <c r="I56" s="75" t="str">
        <f t="shared" si="9"/>
        <v>n/a</v>
      </c>
      <c r="J56" s="11" t="e">
        <f t="shared" si="4"/>
        <v>#VALUE!</v>
      </c>
      <c r="K56" s="492" t="str">
        <f>IF(AND('Tank Summary'!$S$16="y",'Tank Summary'!$S$15 = "n"), IF(E56&lt;=$D$10, 10.2, 3.58*(E56/$D$10)+6.66), IF(AND('Tank Summary'!$R$16="y", 'Tank Summary'!$R$15="y"),IF(E56 &lt;= (PI()/4)*$D$10^3, 10.2, 3.58*(E56/$D$12)+6.66), "Tank mixing equations do not apply"))</f>
        <v>Tank mixing equations do not apply</v>
      </c>
      <c r="L56" s="76" t="e">
        <f t="shared" si="5"/>
        <v>#VALUE!</v>
      </c>
      <c r="M56" s="11" t="str">
        <f>IF(ISERROR(H25-H24),"n/a",IF(ISBLANK(E24), H24-H23,H25-H24))</f>
        <v>n/a</v>
      </c>
      <c r="N56" s="47" t="str">
        <f>IF(ISERROR(H25-H24),"n/a",IF(ISBLANK(E24), H25-H24,H24-H23))</f>
        <v>n/a</v>
      </c>
      <c r="O56" s="94"/>
      <c r="Q56" s="481"/>
      <c r="R56" s="481"/>
      <c r="S56" s="481"/>
      <c r="T56" s="481"/>
    </row>
    <row r="57" spans="2:20" x14ac:dyDescent="0.25">
      <c r="B57" s="92">
        <f t="shared" si="3"/>
        <v>0</v>
      </c>
      <c r="C57" s="77">
        <v>5</v>
      </c>
      <c r="D57" s="74">
        <f>IF(ISBLANK(E26),E27,E26)</f>
        <v>0</v>
      </c>
      <c r="E57" s="74">
        <f>IF(ISBLANK(F26),F27,F26)</f>
        <v>0</v>
      </c>
      <c r="F57" s="32" t="str">
        <f t="shared" si="6"/>
        <v>error</v>
      </c>
      <c r="G57" s="32" t="str">
        <f t="shared" si="7"/>
        <v>error</v>
      </c>
      <c r="H57" s="49" t="str">
        <f t="shared" si="8"/>
        <v/>
      </c>
      <c r="I57" s="75" t="str">
        <f t="shared" si="9"/>
        <v>n/a</v>
      </c>
      <c r="J57" s="11" t="e">
        <f t="shared" si="4"/>
        <v>#VALUE!</v>
      </c>
      <c r="K57" s="492" t="str">
        <f>IF(AND('Tank Summary'!$S$16="y",'Tank Summary'!$S$15 = "n"), IF(E57&lt;=$D$10, 10.2, 3.58*(E57/$D$10)+6.66), IF(AND('Tank Summary'!$R$16="y", 'Tank Summary'!$R$15="y"),IF(E57 &lt;= (PI()/4)*$D$10^3, 10.2, 3.58*(E57/$D$12)+6.66), "Tank mixing equations do not apply"))</f>
        <v>Tank mixing equations do not apply</v>
      </c>
      <c r="L57" s="76" t="e">
        <f t="shared" si="5"/>
        <v>#VALUE!</v>
      </c>
      <c r="M57" s="11" t="str">
        <f>IF(ISERROR(H27-H26),"n/a",IF(ISBLANK(E26), H26-H25,H27-H26))</f>
        <v>n/a</v>
      </c>
      <c r="N57" s="47" t="str">
        <f>IF(ISERROR(H27-H26),"n/a",IF(ISBLANK(E26), H27-H26,H26-H25))</f>
        <v>n/a</v>
      </c>
      <c r="O57" s="94"/>
      <c r="Q57" s="481"/>
      <c r="R57" s="481"/>
      <c r="S57" s="481"/>
      <c r="T57" s="481"/>
    </row>
    <row r="58" spans="2:20" x14ac:dyDescent="0.25">
      <c r="B58" s="92">
        <f t="shared" si="3"/>
        <v>0</v>
      </c>
      <c r="C58" s="77">
        <v>6</v>
      </c>
      <c r="D58" s="74">
        <f>IF(ISBLANK(E28),E29,E28)</f>
        <v>0</v>
      </c>
      <c r="E58" s="74">
        <f>IF(ISBLANK(F28),F29,F28)</f>
        <v>0</v>
      </c>
      <c r="F58" s="32" t="str">
        <f t="shared" si="6"/>
        <v>error</v>
      </c>
      <c r="G58" s="32" t="str">
        <f t="shared" si="7"/>
        <v>error</v>
      </c>
      <c r="H58" s="49" t="str">
        <f t="shared" si="8"/>
        <v/>
      </c>
      <c r="I58" s="75" t="str">
        <f t="shared" si="9"/>
        <v>n/a</v>
      </c>
      <c r="J58" s="11" t="e">
        <f t="shared" si="4"/>
        <v>#VALUE!</v>
      </c>
      <c r="K58" s="492" t="str">
        <f>IF(AND('Tank Summary'!$S$16="y",'Tank Summary'!$S$15 = "n"), IF(E58&lt;=$D$10, 10.2, 3.58*(E58/$D$10)+6.66), IF(AND('Tank Summary'!$R$16="y", 'Tank Summary'!$R$15="y"),IF(E58 &lt;= (PI()/4)*$D$10^3, 10.2, 3.58*(E58/$D$12)+6.66), "Tank mixing equations do not apply"))</f>
        <v>Tank mixing equations do not apply</v>
      </c>
      <c r="L58" s="76" t="e">
        <f t="shared" si="5"/>
        <v>#VALUE!</v>
      </c>
      <c r="M58" s="11" t="str">
        <f>IF(ISERROR(H29-H28),"n/a",IF(ISBLANK(E28), H28-H27,H29-H28))</f>
        <v>n/a</v>
      </c>
      <c r="N58" s="47" t="str">
        <f>IF(ISERROR(H29-H28),"n/a",IF(ISBLANK(E28), H29-H28,H28-H27))</f>
        <v>n/a</v>
      </c>
      <c r="O58" s="94"/>
      <c r="Q58" s="481"/>
      <c r="R58" s="481"/>
      <c r="S58" s="481"/>
      <c r="T58" s="481"/>
    </row>
    <row r="59" spans="2:20" x14ac:dyDescent="0.25">
      <c r="B59" s="92">
        <f t="shared" si="3"/>
        <v>0</v>
      </c>
      <c r="C59" s="77">
        <v>7</v>
      </c>
      <c r="D59" s="74">
        <f>IF(ISBLANK(E30),E31,E30)</f>
        <v>0</v>
      </c>
      <c r="E59" s="74">
        <f>IF(ISBLANK(F30),F31,F30)</f>
        <v>0</v>
      </c>
      <c r="F59" s="32" t="str">
        <f t="shared" si="6"/>
        <v>error</v>
      </c>
      <c r="G59" s="32" t="str">
        <f t="shared" si="7"/>
        <v>error</v>
      </c>
      <c r="H59" s="49" t="str">
        <f t="shared" si="8"/>
        <v/>
      </c>
      <c r="I59" s="75" t="str">
        <f t="shared" si="9"/>
        <v>n/a</v>
      </c>
      <c r="J59" s="11" t="e">
        <f t="shared" si="4"/>
        <v>#VALUE!</v>
      </c>
      <c r="K59" s="492" t="str">
        <f>IF(AND('Tank Summary'!$S$16="y",'Tank Summary'!$S$15 = "n"), IF(E59&lt;=$D$10, 10.2, 3.58*(E59/$D$10)+6.66), IF(AND('Tank Summary'!$R$16="y", 'Tank Summary'!$R$15="y"),IF(E59 &lt;= (PI()/4)*$D$10^3, 10.2, 3.58*(E59/$D$12)+6.66), "Tank mixing equations do not apply"))</f>
        <v>Tank mixing equations do not apply</v>
      </c>
      <c r="L59" s="76" t="e">
        <f t="shared" si="5"/>
        <v>#VALUE!</v>
      </c>
      <c r="M59" s="11" t="str">
        <f>IF(ISERROR(H31-H30),"n/a",IF(ISBLANK(E30), H30-H29,H31-H30))</f>
        <v>n/a</v>
      </c>
      <c r="N59" s="47" t="str">
        <f>IF(ISERROR(H31-H30),"n/a",IF(ISBLANK(E30), H31-H30,H30-H29))</f>
        <v>n/a</v>
      </c>
      <c r="O59" s="94"/>
      <c r="Q59" s="481"/>
      <c r="R59" s="481"/>
      <c r="S59" s="481"/>
      <c r="T59" s="481"/>
    </row>
    <row r="60" spans="2:20" x14ac:dyDescent="0.25">
      <c r="B60" s="92">
        <f t="shared" si="3"/>
        <v>0</v>
      </c>
      <c r="C60" s="77">
        <v>8</v>
      </c>
      <c r="D60" s="74">
        <f>IF(ISBLANK(E32),E33,E32)</f>
        <v>0</v>
      </c>
      <c r="E60" s="74">
        <f>IF(ISBLANK(F32),F33,F32)</f>
        <v>0</v>
      </c>
      <c r="F60" s="32" t="str">
        <f t="shared" si="6"/>
        <v>error</v>
      </c>
      <c r="G60" s="32" t="str">
        <f t="shared" si="7"/>
        <v>error</v>
      </c>
      <c r="H60" s="49" t="str">
        <f t="shared" si="8"/>
        <v/>
      </c>
      <c r="I60" s="75" t="str">
        <f t="shared" si="9"/>
        <v>n/a</v>
      </c>
      <c r="J60" s="11" t="e">
        <f t="shared" si="4"/>
        <v>#VALUE!</v>
      </c>
      <c r="K60" s="492" t="str">
        <f>IF(AND('Tank Summary'!$S$16="y",'Tank Summary'!$S$15 = "n"), IF(E60&lt;=$D$10, 10.2, 3.58*(E60/$D$10)+6.66), IF(AND('Tank Summary'!$R$16="y", 'Tank Summary'!$R$15="y"),IF(E60 &lt;= (PI()/4)*$D$10^3, 10.2, 3.58*(E60/$D$12)+6.66), "Tank mixing equations do not apply"))</f>
        <v>Tank mixing equations do not apply</v>
      </c>
      <c r="L60" s="76" t="e">
        <f t="shared" si="5"/>
        <v>#VALUE!</v>
      </c>
      <c r="M60" s="11" t="str">
        <f>IF(ISERROR(H33-H32),"n/a",IF(ISBLANK(E32), H32-H31,H33-H32))</f>
        <v>n/a</v>
      </c>
      <c r="N60" s="47" t="str">
        <f>IF(ISERROR(H33-H32),"n/a",IF(ISBLANK(E32), H33-H32,H32-H31))</f>
        <v>n/a</v>
      </c>
      <c r="O60" s="94"/>
      <c r="Q60" s="481"/>
      <c r="R60" s="481"/>
      <c r="S60" s="481"/>
      <c r="T60" s="481"/>
    </row>
    <row r="61" spans="2:20" x14ac:dyDescent="0.25">
      <c r="B61" s="92">
        <f t="shared" si="3"/>
        <v>0</v>
      </c>
      <c r="C61" s="77">
        <v>9</v>
      </c>
      <c r="D61" s="74">
        <f>IF(ISBLANK(E34),E35,E34)</f>
        <v>0</v>
      </c>
      <c r="E61" s="74">
        <f>IF(ISBLANK(F34),F35,F34)</f>
        <v>0</v>
      </c>
      <c r="F61" s="32" t="str">
        <f t="shared" si="6"/>
        <v>error</v>
      </c>
      <c r="G61" s="32" t="str">
        <f t="shared" si="7"/>
        <v>error</v>
      </c>
      <c r="H61" s="49" t="str">
        <f t="shared" si="8"/>
        <v/>
      </c>
      <c r="I61" s="75" t="str">
        <f t="shared" si="9"/>
        <v>n/a</v>
      </c>
      <c r="J61" s="11" t="e">
        <f t="shared" si="4"/>
        <v>#VALUE!</v>
      </c>
      <c r="K61" s="492" t="str">
        <f>IF(AND('Tank Summary'!$S$16="y",'Tank Summary'!$S$15 = "n"), IF(E61&lt;=$D$10, 10.2, 3.58*(E61/$D$10)+6.66), IF(AND('Tank Summary'!$R$16="y", 'Tank Summary'!$R$15="y"),IF(E61 &lt;= (PI()/4)*$D$10^3, 10.2, 3.58*(E61/$D$12)+6.66), "Tank mixing equations do not apply"))</f>
        <v>Tank mixing equations do not apply</v>
      </c>
      <c r="L61" s="76" t="e">
        <f t="shared" si="5"/>
        <v>#VALUE!</v>
      </c>
      <c r="M61" s="11" t="str">
        <f>IF(ISERROR(H35-H34),"n/a",IF(ISBLANK(E34), H34-H33,H35-H34))</f>
        <v>n/a</v>
      </c>
      <c r="N61" s="47" t="str">
        <f>IF(ISERROR(H35-H34),"n/a",IF(ISBLANK(E34), H35-H34,H34-H33))</f>
        <v>n/a</v>
      </c>
      <c r="O61" s="94"/>
      <c r="Q61" s="481"/>
      <c r="R61" s="481"/>
      <c r="S61" s="481"/>
      <c r="T61" s="481"/>
    </row>
    <row r="62" spans="2:20" x14ac:dyDescent="0.25">
      <c r="B62" s="92">
        <f t="shared" si="3"/>
        <v>0</v>
      </c>
      <c r="C62" s="77">
        <v>10</v>
      </c>
      <c r="D62" s="74">
        <f>IF(ISBLANK(E36),E37,E36)</f>
        <v>0</v>
      </c>
      <c r="E62" s="74">
        <f>IF(ISBLANK(F36),F37,F36)</f>
        <v>0</v>
      </c>
      <c r="F62" s="32" t="str">
        <f t="shared" si="6"/>
        <v>error</v>
      </c>
      <c r="G62" s="32" t="str">
        <f t="shared" si="7"/>
        <v>error</v>
      </c>
      <c r="H62" s="49" t="str">
        <f t="shared" si="8"/>
        <v/>
      </c>
      <c r="I62" s="75" t="str">
        <f t="shared" si="9"/>
        <v>n/a</v>
      </c>
      <c r="J62" s="11" t="e">
        <f t="shared" si="4"/>
        <v>#VALUE!</v>
      </c>
      <c r="K62" s="492" t="str">
        <f>IF(AND('Tank Summary'!$S$16="y",'Tank Summary'!$S$15 = "n"), IF(E62&lt;=$D$10, 10.2, 3.58*(E62/$D$10)+6.66), IF(AND('Tank Summary'!$R$16="y", 'Tank Summary'!$R$15="y"),IF(E62 &lt;= (PI()/4)*$D$10^3, 10.2, 3.58*(E62/$D$12)+6.66), "Tank mixing equations do not apply"))</f>
        <v>Tank mixing equations do not apply</v>
      </c>
      <c r="L62" s="76" t="e">
        <f t="shared" si="5"/>
        <v>#VALUE!</v>
      </c>
      <c r="M62" s="11" t="str">
        <f>IF(ISERROR(H37-H36),"n/a",IF(ISBLANK(E36), H36-H35,H37-H36))</f>
        <v>n/a</v>
      </c>
      <c r="N62" s="47" t="str">
        <f>IF(ISERROR(H37-H36),"n/a",IF(ISBLANK(E36), H37-H36,H36-H35))</f>
        <v>n/a</v>
      </c>
      <c r="O62" s="94"/>
      <c r="Q62" s="481"/>
      <c r="R62" s="481"/>
      <c r="S62" s="481"/>
      <c r="T62" s="481"/>
    </row>
    <row r="63" spans="2:20" x14ac:dyDescent="0.25">
      <c r="B63" s="92">
        <f t="shared" si="3"/>
        <v>0</v>
      </c>
      <c r="C63" s="77">
        <v>11</v>
      </c>
      <c r="D63" s="74">
        <f>IF(ISBLANK(E38),E39,E38)</f>
        <v>0</v>
      </c>
      <c r="E63" s="74">
        <f>IF(ISBLANK(F38),F39,F38)</f>
        <v>0</v>
      </c>
      <c r="F63" s="32" t="str">
        <f t="shared" si="6"/>
        <v>error</v>
      </c>
      <c r="G63" s="32" t="str">
        <f t="shared" si="7"/>
        <v>error</v>
      </c>
      <c r="H63" s="49" t="str">
        <f t="shared" si="8"/>
        <v/>
      </c>
      <c r="I63" s="75" t="str">
        <f t="shared" si="9"/>
        <v>n/a</v>
      </c>
      <c r="J63" s="11" t="e">
        <f t="shared" si="4"/>
        <v>#VALUE!</v>
      </c>
      <c r="K63" s="492" t="str">
        <f>IF(AND('Tank Summary'!$S$16="y",'Tank Summary'!$S$15 = "n"), IF(E63&lt;=$D$10, 10.2, 3.58*(E63/$D$10)+6.66), IF(AND('Tank Summary'!$R$16="y", 'Tank Summary'!$R$15="y"),IF(E63 &lt;= (PI()/4)*$D$10^3, 10.2, 3.58*(E63/$D$12)+6.66), "Tank mixing equations do not apply"))</f>
        <v>Tank mixing equations do not apply</v>
      </c>
      <c r="L63" s="76" t="e">
        <f t="shared" si="5"/>
        <v>#VALUE!</v>
      </c>
      <c r="M63" s="11" t="str">
        <f>IF(ISERROR(H39-H38),"n/a",IF(ISBLANK(E38), H38-H37,H39-H38))</f>
        <v>n/a</v>
      </c>
      <c r="N63" s="47" t="str">
        <f>IF(ISERROR(H39-H38),"n/a",IF(ISBLANK(E38), H39-H38,H38-H37))</f>
        <v>n/a</v>
      </c>
      <c r="O63" s="94"/>
      <c r="Q63" s="481"/>
      <c r="R63" s="481"/>
      <c r="S63" s="481"/>
      <c r="T63" s="481"/>
    </row>
    <row r="64" spans="2:20" x14ac:dyDescent="0.25">
      <c r="B64" s="92">
        <f t="shared" si="3"/>
        <v>0</v>
      </c>
      <c r="C64" s="77">
        <v>12</v>
      </c>
      <c r="D64" s="74">
        <f>IF(ISBLANK(E40),E41,E40)</f>
        <v>0</v>
      </c>
      <c r="E64" s="74">
        <f>IF(ISBLANK(F40),F41,F40)</f>
        <v>0</v>
      </c>
      <c r="F64" s="32" t="str">
        <f t="shared" si="6"/>
        <v>error</v>
      </c>
      <c r="G64" s="32" t="str">
        <f t="shared" si="7"/>
        <v>error</v>
      </c>
      <c r="H64" s="49" t="str">
        <f t="shared" si="8"/>
        <v/>
      </c>
      <c r="I64" s="75" t="str">
        <f t="shared" si="9"/>
        <v>n/a</v>
      </c>
      <c r="J64" s="11" t="e">
        <f t="shared" si="4"/>
        <v>#VALUE!</v>
      </c>
      <c r="K64" s="492" t="str">
        <f>IF(AND('Tank Summary'!$S$16="y",'Tank Summary'!$S$15 = "n"), IF(E64&lt;=$D$10, 10.2, 3.58*(E64/$D$10)+6.66), IF(AND('Tank Summary'!$R$16="y", 'Tank Summary'!$R$15="y"),IF(E64 &lt;= (PI()/4)*$D$10^3, 10.2, 3.58*(E64/$D$12)+6.66), "Tank mixing equations do not apply"))</f>
        <v>Tank mixing equations do not apply</v>
      </c>
      <c r="L64" s="76" t="e">
        <f t="shared" si="5"/>
        <v>#VALUE!</v>
      </c>
      <c r="M64" s="11" t="str">
        <f>IF(ISERROR(H41-H40),"n/a",IF(ISBLANK(E40), H40-H39,H41-H40))</f>
        <v>n/a</v>
      </c>
      <c r="N64" s="47" t="str">
        <f>IF(ISERROR(H41-H40),"n/a",IF(ISBLANK(E40), H41-H40,H40-H39))</f>
        <v>n/a</v>
      </c>
      <c r="O64" s="94"/>
      <c r="Q64" s="481"/>
      <c r="R64" s="481"/>
      <c r="S64" s="481"/>
      <c r="T64" s="481"/>
    </row>
    <row r="65" spans="1:20" x14ac:dyDescent="0.25">
      <c r="B65" s="92">
        <f t="shared" si="3"/>
        <v>0</v>
      </c>
      <c r="C65" s="77">
        <v>13</v>
      </c>
      <c r="D65" s="74">
        <f>IF(ISBLANK(E42),E43,E42)</f>
        <v>0</v>
      </c>
      <c r="E65" s="74">
        <f>IF(ISBLANK(F42),F43,F42)</f>
        <v>0</v>
      </c>
      <c r="F65" s="32" t="str">
        <f t="shared" si="6"/>
        <v>error</v>
      </c>
      <c r="G65" s="32" t="str">
        <f t="shared" si="7"/>
        <v>error</v>
      </c>
      <c r="H65" s="49" t="str">
        <f t="shared" si="8"/>
        <v/>
      </c>
      <c r="I65" s="75" t="str">
        <f t="shared" si="9"/>
        <v>n/a</v>
      </c>
      <c r="J65" s="11" t="e">
        <f t="shared" si="4"/>
        <v>#VALUE!</v>
      </c>
      <c r="K65" s="492" t="str">
        <f>IF(AND('Tank Summary'!$S$16="y",'Tank Summary'!$S$15 = "n"), IF(E65&lt;=$D$10, 10.2, 3.58*(E65/$D$10)+6.66), IF(AND('Tank Summary'!$R$16="y", 'Tank Summary'!$R$15="y"),IF(E65 &lt;= (PI()/4)*$D$10^3, 10.2, 3.58*(E65/$D$12)+6.66), "Tank mixing equations do not apply"))</f>
        <v>Tank mixing equations do not apply</v>
      </c>
      <c r="L65" s="76" t="e">
        <f t="shared" si="5"/>
        <v>#VALUE!</v>
      </c>
      <c r="M65" s="11" t="str">
        <f>IF(ISERROR(H43-H42),"n/a",IF(ISBLANK(E42), H42-H41,H43-H42))</f>
        <v>n/a</v>
      </c>
      <c r="N65" s="47" t="str">
        <f>IF(ISERROR(H43-H42),"n/a",IF(ISBLANK(E42), H43-H42,H42-H41))</f>
        <v>n/a</v>
      </c>
      <c r="O65" s="94"/>
      <c r="Q65" s="481"/>
      <c r="R65" s="481"/>
      <c r="S65" s="481"/>
      <c r="T65" s="481"/>
    </row>
    <row r="66" spans="1:20" x14ac:dyDescent="0.25">
      <c r="B66" s="92">
        <f t="shared" si="3"/>
        <v>0</v>
      </c>
      <c r="C66" s="77">
        <v>14</v>
      </c>
      <c r="D66" s="74">
        <f>IF(ISBLANK(E44),E45,E44)</f>
        <v>0</v>
      </c>
      <c r="E66" s="74">
        <f>IF(ISBLANK(F44),F45,F44)</f>
        <v>0</v>
      </c>
      <c r="F66" s="32" t="str">
        <f t="shared" si="6"/>
        <v>error</v>
      </c>
      <c r="G66" s="32" t="str">
        <f t="shared" si="7"/>
        <v>error</v>
      </c>
      <c r="H66" s="49" t="str">
        <f t="shared" si="8"/>
        <v/>
      </c>
      <c r="I66" s="75" t="str">
        <f t="shared" si="9"/>
        <v>n/a</v>
      </c>
      <c r="J66" s="11" t="e">
        <f t="shared" si="4"/>
        <v>#VALUE!</v>
      </c>
      <c r="K66" s="492" t="str">
        <f>IF(AND('Tank Summary'!$S$16="y",'Tank Summary'!$S$15 = "n"), IF(E66&lt;=$D$10, 10.2, 3.58*(E66/$D$10)+6.66), IF(AND('Tank Summary'!$R$16="y", 'Tank Summary'!$R$15="y"),IF(E66 &lt;= (PI()/4)*$D$10^3, 10.2, 3.58*(E66/$D$12)+6.66), "Tank mixing equations do not apply"))</f>
        <v>Tank mixing equations do not apply</v>
      </c>
      <c r="L66" s="76" t="e">
        <f t="shared" si="5"/>
        <v>#VALUE!</v>
      </c>
      <c r="M66" s="11" t="str">
        <f>IF(ISERROR(H45-H44),"n/a",IF(ISBLANK(E44), H44-H43,H45-H44))</f>
        <v>n/a</v>
      </c>
      <c r="N66" s="47" t="str">
        <f>IF(ISERROR(H45-H44),"n/a",IF(ISBLANK(E44), H45-H44,H44-H43))</f>
        <v>n/a</v>
      </c>
      <c r="O66" s="94"/>
      <c r="Q66" s="481"/>
      <c r="R66" s="481"/>
      <c r="S66" s="481"/>
      <c r="T66" s="481"/>
    </row>
    <row r="67" spans="1:20" ht="13" thickBot="1" x14ac:dyDescent="0.3">
      <c r="B67" s="92">
        <f t="shared" si="3"/>
        <v>0</v>
      </c>
      <c r="C67" s="78">
        <v>15</v>
      </c>
      <c r="D67" s="79">
        <f>IF(ISBLANK(E46),E47,E46)</f>
        <v>0</v>
      </c>
      <c r="E67" s="79">
        <f>IF(ISBLANK(F46),F47,F46)</f>
        <v>0</v>
      </c>
      <c r="F67" s="127" t="str">
        <f t="shared" si="6"/>
        <v>error</v>
      </c>
      <c r="G67" s="127" t="str">
        <f t="shared" si="7"/>
        <v>error</v>
      </c>
      <c r="H67" s="128" t="str">
        <f t="shared" si="8"/>
        <v/>
      </c>
      <c r="I67" s="129" t="str">
        <f t="shared" si="9"/>
        <v>n/a</v>
      </c>
      <c r="J67" s="48" t="e">
        <f t="shared" si="4"/>
        <v>#VALUE!</v>
      </c>
      <c r="K67" s="492" t="str">
        <f>IF(AND('Tank Summary'!$S$16="y",'Tank Summary'!$S$15 = "n"), IF(E67&lt;=$D$10, 10.2, 3.58*(E67/$D$10)+6.66), IF(AND('Tank Summary'!$R$16="y", 'Tank Summary'!$R$15="y"),IF(E67 &lt;= (PI()/4)*$D$10^3, 10.2, 3.58*(E67/$D$12)+6.66), "Tank mixing equations do not apply"))</f>
        <v>Tank mixing equations do not apply</v>
      </c>
      <c r="L67" s="48" t="e">
        <f t="shared" si="5"/>
        <v>#VALUE!</v>
      </c>
      <c r="M67" s="48" t="str">
        <f>IF(ISERROR(H47-H46),"n/a",IF(ISBLANK(E46), H46-H45,H47-H46))</f>
        <v>n/a</v>
      </c>
      <c r="N67" s="65" t="str">
        <f>IF(ISERROR(H47-H46),"n/a",IF(ISBLANK(E46), H47-H46,H46-H45))</f>
        <v>n/a</v>
      </c>
      <c r="O67" s="94"/>
      <c r="Q67" s="481"/>
      <c r="R67" s="481"/>
      <c r="S67" s="481"/>
      <c r="T67" s="481"/>
    </row>
    <row r="68" spans="1:20" ht="13" x14ac:dyDescent="0.3">
      <c r="B68" s="92"/>
      <c r="C68" s="8"/>
      <c r="D68" s="25"/>
      <c r="E68" s="26"/>
      <c r="F68" s="26"/>
      <c r="G68" s="26"/>
      <c r="H68" s="26"/>
      <c r="I68" s="27"/>
      <c r="J68" s="27"/>
      <c r="K68" s="27"/>
      <c r="L68" s="8"/>
      <c r="M68" s="98"/>
      <c r="N68" s="8"/>
      <c r="O68" s="94"/>
      <c r="Q68" s="481"/>
      <c r="R68" s="481"/>
      <c r="S68" s="481"/>
      <c r="T68" s="481"/>
    </row>
    <row r="69" spans="1:20" ht="13.5" thickBot="1" x14ac:dyDescent="0.35">
      <c r="A69" s="94"/>
      <c r="B69" s="92"/>
      <c r="C69" s="99" t="s">
        <v>40</v>
      </c>
      <c r="D69" s="8"/>
      <c r="E69" s="8"/>
      <c r="F69" s="8"/>
      <c r="G69" s="27"/>
      <c r="H69" s="366"/>
      <c r="I69" s="366" t="s">
        <v>18</v>
      </c>
      <c r="J69" s="366"/>
      <c r="K69" s="366"/>
      <c r="L69" s="100"/>
      <c r="M69" s="98"/>
      <c r="N69" s="27"/>
      <c r="O69" s="94"/>
      <c r="Q69" s="481"/>
      <c r="R69" s="481"/>
      <c r="S69" s="481"/>
      <c r="T69" s="481"/>
    </row>
    <row r="70" spans="1:20" ht="13" x14ac:dyDescent="0.3">
      <c r="B70" s="92"/>
      <c r="C70" s="57" t="s">
        <v>39</v>
      </c>
      <c r="D70" s="58"/>
      <c r="E70" s="61" t="e">
        <f>SUM(G53:G67)/COUNTIF(G53:G67,"&gt;0")</f>
        <v>#DIV/0!</v>
      </c>
      <c r="F70" s="52" t="s">
        <v>4</v>
      </c>
      <c r="G70" s="27"/>
      <c r="H70" s="7" t="str">
        <f>IF(D8="y","Avg Vol at Start of Fill","Avg Min Water Level")</f>
        <v>Avg Min Water Level</v>
      </c>
      <c r="I70" s="38"/>
      <c r="J70" s="35" t="e">
        <f>IF('Tank Summary'!K16="n","",SUM(D53:D67)/SUM(B53:B67))</f>
        <v>#DIV/0!</v>
      </c>
      <c r="K70" s="15" t="str">
        <f>IF(D8="y","gal","ft")</f>
        <v>ft</v>
      </c>
      <c r="L70" s="8"/>
      <c r="M70" s="8"/>
      <c r="N70" s="98"/>
      <c r="O70" s="94"/>
      <c r="Q70" s="481"/>
      <c r="R70" s="481"/>
      <c r="S70" s="481"/>
      <c r="T70" s="481"/>
    </row>
    <row r="71" spans="1:20" ht="13" x14ac:dyDescent="0.3">
      <c r="B71" s="92"/>
      <c r="C71" s="4" t="s">
        <v>43</v>
      </c>
      <c r="D71" s="55"/>
      <c r="E71" s="2" t="e">
        <f>SUM(H53:H67)/COUNTIF(H53:H67,"&gt;0")</f>
        <v>#DIV/0!</v>
      </c>
      <c r="F71" s="5" t="s">
        <v>5</v>
      </c>
      <c r="G71" s="8"/>
      <c r="H71" s="39" t="s">
        <v>55</v>
      </c>
      <c r="I71" s="37"/>
      <c r="J71" s="36" t="e">
        <f>IF('Tank Summary'!K16="n","",AVERAGE(J53:J67))</f>
        <v>#VALUE!</v>
      </c>
      <c r="K71" s="16"/>
      <c r="L71" s="8"/>
      <c r="M71" s="8"/>
      <c r="N71" s="8"/>
      <c r="O71" s="94"/>
    </row>
    <row r="72" spans="1:20" ht="13" x14ac:dyDescent="0.3">
      <c r="B72" s="92"/>
      <c r="C72" s="39" t="s">
        <v>36</v>
      </c>
      <c r="D72" s="63"/>
      <c r="E72" s="130" t="e">
        <f>AVERAGE(M53:M67)</f>
        <v>#DIV/0!</v>
      </c>
      <c r="F72" s="16" t="s">
        <v>2</v>
      </c>
      <c r="G72" s="8"/>
      <c r="H72" s="39" t="s">
        <v>56</v>
      </c>
      <c r="I72" s="37"/>
      <c r="J72" s="36" t="e">
        <f>IF('Tank Summary'!K16="n","",AVERAGE(L53:L67))</f>
        <v>#VALUE!</v>
      </c>
      <c r="K72" s="16"/>
      <c r="L72" s="8"/>
      <c r="M72" s="8"/>
      <c r="N72" s="8"/>
      <c r="O72" s="94"/>
    </row>
    <row r="73" spans="1:20" ht="13" x14ac:dyDescent="0.3">
      <c r="B73" s="92"/>
      <c r="C73" s="39" t="s">
        <v>37</v>
      </c>
      <c r="D73" s="63"/>
      <c r="E73" s="131" t="e">
        <f>AVERAGE(N53:N67)</f>
        <v>#DIV/0!</v>
      </c>
      <c r="F73" s="62" t="s">
        <v>2</v>
      </c>
      <c r="G73" s="8"/>
      <c r="H73" s="39" t="str">
        <f>IF(D8="y","Avg Measured Vol Change","Avg Measured Water Level Change")</f>
        <v>Avg Measured Water Level Change</v>
      </c>
      <c r="I73" s="37"/>
      <c r="J73" s="83" t="e">
        <f>IF('Tank Summary'!K16="n","",(SUM(E53:E67)/SUM(B53:B67))-J70)</f>
        <v>#DIV/0!</v>
      </c>
      <c r="K73" s="16" t="str">
        <f>IF(D8="y","gal","ft")</f>
        <v>ft</v>
      </c>
      <c r="L73" s="8"/>
      <c r="M73" s="8"/>
      <c r="N73" s="8"/>
      <c r="O73" s="94"/>
    </row>
    <row r="74" spans="1:20" ht="24.75" customHeight="1" x14ac:dyDescent="0.3">
      <c r="B74" s="92"/>
      <c r="C74" s="39" t="s">
        <v>28</v>
      </c>
      <c r="D74" s="63"/>
      <c r="E74" s="34" t="e">
        <f>E70*10^6/(E72*24*60)</f>
        <v>#DIV/0!</v>
      </c>
      <c r="F74" s="41" t="s">
        <v>26</v>
      </c>
      <c r="G74" s="8"/>
      <c r="H74" s="505" t="str">
        <f>IF(D8="y","Desired Vol Change Needed for Good Mixing","Desired Water Level Change Needed for Good Mixing")</f>
        <v>Desired Water Level Change Needed for Good Mixing</v>
      </c>
      <c r="I74" s="506"/>
      <c r="J74" s="45" t="e">
        <f>IF('Tank Summary'!K16="n","",$J$70*J72)</f>
        <v>#DIV/0!</v>
      </c>
      <c r="K74" s="43" t="str">
        <f>IF(D8="y","gal","ft")</f>
        <v>ft</v>
      </c>
      <c r="L74" s="8"/>
      <c r="M74" s="8"/>
      <c r="N74" s="8"/>
      <c r="O74" s="94"/>
    </row>
    <row r="75" spans="1:20" ht="24.75" customHeight="1" x14ac:dyDescent="0.3">
      <c r="B75" s="92"/>
      <c r="C75" s="39" t="s">
        <v>29</v>
      </c>
      <c r="D75" s="63"/>
      <c r="E75" s="34" t="e">
        <f>E71*10^6/(E73*24*60)</f>
        <v>#DIV/0!</v>
      </c>
      <c r="F75" s="41" t="s">
        <v>26</v>
      </c>
      <c r="G75" s="8"/>
      <c r="H75" s="39" t="s">
        <v>57</v>
      </c>
      <c r="I75" s="432"/>
      <c r="J75" s="160" t="e">
        <f>IF('Tank Summary'!K16="n","",J73/J74)</f>
        <v>#DIV/0!</v>
      </c>
      <c r="K75" s="5"/>
      <c r="L75" s="8"/>
      <c r="M75" s="8"/>
      <c r="N75" s="8"/>
      <c r="O75" s="94"/>
    </row>
    <row r="76" spans="1:20" ht="27" customHeight="1" thickBot="1" x14ac:dyDescent="0.35">
      <c r="B76" s="92"/>
      <c r="C76" s="59" t="s">
        <v>38</v>
      </c>
      <c r="D76" s="60"/>
      <c r="E76" s="64" t="e">
        <f>E72+E73</f>
        <v>#DIV/0!</v>
      </c>
      <c r="F76" s="24" t="s">
        <v>2</v>
      </c>
      <c r="G76" s="8"/>
      <c r="H76" s="42" t="s">
        <v>54</v>
      </c>
      <c r="I76" s="431"/>
      <c r="J76" s="44" t="e">
        <f>IF('Tank Summary'!K16="n","",(((((SUM(F53:F67)/SUM(B53:B67))*10^6/7.48)^(1/3))*$J$71)/9)*12)</f>
        <v>#DIV/0!</v>
      </c>
      <c r="K76" s="3" t="s">
        <v>31</v>
      </c>
      <c r="L76" s="8"/>
      <c r="M76" s="8"/>
      <c r="N76" s="8"/>
      <c r="O76" s="94"/>
    </row>
    <row r="77" spans="1:20" ht="14.25" customHeight="1" x14ac:dyDescent="0.3">
      <c r="B77" s="92"/>
      <c r="C77" s="39" t="s">
        <v>53</v>
      </c>
      <c r="D77" s="56"/>
      <c r="E77" s="36" t="e">
        <f>E70/E76</f>
        <v>#DIV/0!</v>
      </c>
      <c r="F77" s="5" t="s">
        <v>3</v>
      </c>
      <c r="G77" s="8"/>
      <c r="H77" s="8"/>
      <c r="I77" s="507" t="str">
        <f>IF('Tank Summary'!S26="no","The tank mixing equations are not applicable.",IF(J73&lt;J74,"Mixing is at an undesirable level, use Mixing Analysis (Section II) to determine strategies that will increase mixing.","Mixing is at a desired level."))</f>
        <v>The tank mixing equations are not applicable.</v>
      </c>
      <c r="J77" s="507"/>
      <c r="K77" s="507"/>
      <c r="L77" s="508"/>
      <c r="M77" s="8"/>
      <c r="N77" s="8"/>
      <c r="O77" s="94"/>
    </row>
    <row r="78" spans="1:20" ht="13" x14ac:dyDescent="0.3">
      <c r="B78" s="92"/>
      <c r="C78" s="39" t="s">
        <v>44</v>
      </c>
      <c r="D78" s="56"/>
      <c r="E78" s="36" t="e">
        <f>AVERAGE(I53:I67)</f>
        <v>#DIV/0!</v>
      </c>
      <c r="F78" s="5" t="s">
        <v>5</v>
      </c>
      <c r="G78" s="8"/>
      <c r="H78" s="8"/>
      <c r="I78" s="508"/>
      <c r="J78" s="508"/>
      <c r="K78" s="508"/>
      <c r="L78" s="508"/>
      <c r="M78" s="8"/>
      <c r="N78" s="8"/>
      <c r="O78" s="94"/>
    </row>
    <row r="79" spans="1:20" ht="13.5" thickBot="1" x14ac:dyDescent="0.35">
      <c r="B79" s="92"/>
      <c r="C79" s="42" t="s">
        <v>8</v>
      </c>
      <c r="D79" s="40"/>
      <c r="E79" s="54" t="e">
        <f>E78/E77</f>
        <v>#DIV/0!</v>
      </c>
      <c r="F79" s="6" t="s">
        <v>2</v>
      </c>
      <c r="G79" s="8"/>
      <c r="H79" s="8"/>
      <c r="I79" s="508"/>
      <c r="J79" s="508"/>
      <c r="K79" s="508"/>
      <c r="L79" s="508"/>
      <c r="M79" s="8"/>
      <c r="N79" s="8"/>
      <c r="O79" s="94"/>
    </row>
    <row r="80" spans="1:20" ht="12.75" customHeight="1" x14ac:dyDescent="0.3">
      <c r="B80" s="92"/>
      <c r="C80" s="93"/>
      <c r="D80" s="503" t="e">
        <f>IF(E79&gt;5, "Turnover time is at an undesirable level, use Turnover Time Analysis (Step 2) to determine operational strategies that will reduce turnover time.","Turnover Time is at a desired level.")</f>
        <v>#DIV/0!</v>
      </c>
      <c r="E80" s="503"/>
      <c r="F80" s="503"/>
      <c r="G80" s="8"/>
      <c r="H80" s="126"/>
      <c r="I80" s="508"/>
      <c r="J80" s="508"/>
      <c r="K80" s="508"/>
      <c r="L80" s="508"/>
      <c r="M80" s="8"/>
      <c r="N80" s="8"/>
      <c r="O80" s="94"/>
    </row>
    <row r="81" spans="2:15" ht="11.25" customHeight="1" x14ac:dyDescent="0.3">
      <c r="B81" s="92"/>
      <c r="C81" s="8"/>
      <c r="D81" s="504"/>
      <c r="E81" s="504"/>
      <c r="F81" s="504"/>
      <c r="G81" s="8"/>
      <c r="H81" s="126"/>
      <c r="I81" s="82"/>
      <c r="J81" s="82"/>
      <c r="K81" s="82"/>
      <c r="L81" s="82"/>
      <c r="M81" s="8"/>
      <c r="N81" s="8"/>
      <c r="O81" s="94"/>
    </row>
    <row r="82" spans="2:15" ht="12.75" customHeight="1" x14ac:dyDescent="0.25">
      <c r="B82" s="92"/>
      <c r="C82" s="8"/>
      <c r="D82" s="504"/>
      <c r="E82" s="504"/>
      <c r="F82" s="504"/>
      <c r="G82" s="8"/>
      <c r="H82" s="8"/>
      <c r="I82" s="8"/>
      <c r="J82" s="29"/>
      <c r="K82" s="29"/>
      <c r="L82" s="8"/>
      <c r="M82" s="8"/>
      <c r="N82" s="8"/>
      <c r="O82" s="94"/>
    </row>
    <row r="83" spans="2:15" ht="16.5" customHeight="1" x14ac:dyDescent="0.25">
      <c r="B83" s="92"/>
      <c r="C83" s="8"/>
      <c r="D83" s="504"/>
      <c r="E83" s="504"/>
      <c r="F83" s="504"/>
      <c r="G83" s="8"/>
      <c r="H83" s="8"/>
      <c r="I83" s="8"/>
      <c r="J83" s="29"/>
      <c r="K83" s="29"/>
      <c r="L83" s="8"/>
      <c r="M83" s="8"/>
      <c r="N83" s="8"/>
      <c r="O83" s="94"/>
    </row>
    <row r="84" spans="2:15" ht="13" thickBot="1" x14ac:dyDescent="0.3">
      <c r="B84" s="101"/>
      <c r="C84" s="102"/>
      <c r="D84" s="102"/>
      <c r="E84" s="102"/>
      <c r="F84" s="102"/>
      <c r="G84" s="102"/>
      <c r="H84" s="102"/>
      <c r="I84" s="102"/>
      <c r="J84" s="102"/>
      <c r="K84" s="102"/>
      <c r="L84" s="102"/>
      <c r="M84" s="102"/>
      <c r="N84" s="102"/>
      <c r="O84" s="103"/>
    </row>
    <row r="85" spans="2:15" ht="18.5" thickBot="1" x14ac:dyDescent="0.45">
      <c r="B85" s="116" t="s">
        <v>188</v>
      </c>
      <c r="C85" s="111"/>
      <c r="D85" s="111"/>
      <c r="E85" s="120"/>
      <c r="F85" s="121"/>
      <c r="G85" s="111"/>
      <c r="H85" s="111"/>
      <c r="I85" s="111"/>
      <c r="J85" s="111"/>
      <c r="K85" s="111"/>
      <c r="L85" s="118"/>
      <c r="M85" s="118"/>
      <c r="N85" s="118"/>
      <c r="O85" s="119"/>
    </row>
    <row r="86" spans="2:15" x14ac:dyDescent="0.25">
      <c r="B86" s="92"/>
      <c r="C86" s="29"/>
      <c r="D86" s="29"/>
      <c r="E86" s="29"/>
      <c r="F86" s="29"/>
      <c r="G86" s="29"/>
      <c r="H86" s="29"/>
      <c r="I86" s="29"/>
      <c r="J86" s="29"/>
      <c r="K86" s="29"/>
      <c r="L86" s="8"/>
      <c r="M86" s="8"/>
      <c r="N86" s="8"/>
      <c r="O86" s="94"/>
    </row>
    <row r="87" spans="2:15" ht="13" x14ac:dyDescent="0.3">
      <c r="B87" s="92"/>
      <c r="C87" s="95" t="s">
        <v>65</v>
      </c>
      <c r="D87" s="29"/>
      <c r="E87" s="29"/>
      <c r="F87" s="29"/>
      <c r="G87" s="29"/>
      <c r="H87" s="29"/>
      <c r="I87" s="29"/>
      <c r="J87" s="29"/>
      <c r="K87" s="29"/>
      <c r="L87" s="8"/>
      <c r="M87" s="8"/>
      <c r="N87" s="8"/>
      <c r="O87" s="94"/>
    </row>
    <row r="88" spans="2:15" ht="13" x14ac:dyDescent="0.3">
      <c r="B88" s="92"/>
      <c r="C88" s="95" t="s">
        <v>207</v>
      </c>
      <c r="D88" s="29"/>
      <c r="E88" s="29"/>
      <c r="F88" s="29"/>
      <c r="G88" s="29"/>
      <c r="H88" s="29"/>
      <c r="I88" s="29"/>
      <c r="J88" s="29"/>
      <c r="K88" s="29"/>
      <c r="L88" s="8"/>
      <c r="M88" s="8"/>
      <c r="N88" s="8"/>
      <c r="O88" s="94"/>
    </row>
    <row r="89" spans="2:15" ht="13" x14ac:dyDescent="0.3">
      <c r="B89" s="92"/>
      <c r="C89" s="95"/>
      <c r="D89" s="29"/>
      <c r="E89" s="29"/>
      <c r="F89" s="29"/>
      <c r="G89" s="29"/>
      <c r="H89" s="29"/>
      <c r="I89" s="29"/>
      <c r="J89" s="29"/>
      <c r="K89" s="29"/>
      <c r="L89" s="8"/>
      <c r="M89" s="8"/>
      <c r="N89" s="8"/>
      <c r="O89" s="94"/>
    </row>
    <row r="90" spans="2:15" ht="13" x14ac:dyDescent="0.3">
      <c r="B90" s="92"/>
      <c r="C90" s="95" t="s">
        <v>77</v>
      </c>
      <c r="D90" s="29"/>
      <c r="E90" s="29"/>
      <c r="F90" s="29"/>
      <c r="G90" s="29"/>
      <c r="H90" s="29"/>
      <c r="I90" s="29"/>
      <c r="J90" s="29"/>
      <c r="K90" s="29"/>
      <c r="L90" s="8"/>
      <c r="M90" s="8"/>
      <c r="N90" s="8"/>
      <c r="O90" s="94"/>
    </row>
    <row r="91" spans="2:15" ht="13" x14ac:dyDescent="0.3">
      <c r="B91" s="92"/>
      <c r="C91" s="344" t="s">
        <v>294</v>
      </c>
      <c r="D91" s="488"/>
      <c r="E91" s="488"/>
      <c r="F91" s="488"/>
      <c r="G91" s="488"/>
      <c r="H91" s="29"/>
      <c r="I91" s="29"/>
      <c r="J91" s="29"/>
      <c r="K91" s="29"/>
      <c r="L91" s="8"/>
      <c r="M91" s="8"/>
      <c r="N91" s="8"/>
      <c r="O91" s="94"/>
    </row>
    <row r="92" spans="2:15" ht="13" x14ac:dyDescent="0.3">
      <c r="B92" s="92"/>
      <c r="C92" s="95"/>
      <c r="D92" s="29"/>
      <c r="E92" s="29"/>
      <c r="F92" s="29"/>
      <c r="G92" s="29"/>
      <c r="H92" s="29"/>
      <c r="I92" s="29"/>
      <c r="J92" s="29"/>
      <c r="K92" s="29"/>
      <c r="L92" s="8"/>
      <c r="M92" s="8"/>
      <c r="N92" s="8"/>
      <c r="O92" s="94"/>
    </row>
    <row r="93" spans="2:15" ht="13" x14ac:dyDescent="0.3">
      <c r="B93" s="92"/>
      <c r="C93" s="95" t="s">
        <v>280</v>
      </c>
      <c r="D93" s="29"/>
      <c r="E93" s="29"/>
      <c r="F93" s="29"/>
      <c r="G93" s="29"/>
      <c r="H93" s="29"/>
      <c r="I93" s="29"/>
      <c r="J93" s="29"/>
      <c r="K93" s="29"/>
      <c r="L93" s="8"/>
      <c r="M93" s="8"/>
      <c r="N93" s="8"/>
      <c r="O93" s="94"/>
    </row>
    <row r="94" spans="2:15" ht="13" x14ac:dyDescent="0.3">
      <c r="B94" s="92"/>
      <c r="C94" s="95"/>
      <c r="D94" s="29"/>
      <c r="E94" s="29"/>
      <c r="F94" s="29"/>
      <c r="G94" s="29"/>
      <c r="H94" s="29"/>
      <c r="I94" s="29"/>
      <c r="J94" s="29"/>
      <c r="K94" s="29"/>
      <c r="L94" s="8"/>
      <c r="M94" s="8"/>
      <c r="N94" s="8"/>
      <c r="O94" s="94"/>
    </row>
    <row r="95" spans="2:15" ht="13" x14ac:dyDescent="0.3">
      <c r="B95" s="92"/>
      <c r="C95" s="29"/>
      <c r="D95" s="133" t="s">
        <v>27</v>
      </c>
      <c r="E95" s="81" t="s">
        <v>45</v>
      </c>
      <c r="F95" s="81" t="s">
        <v>46</v>
      </c>
      <c r="G95" s="81" t="s">
        <v>47</v>
      </c>
      <c r="H95" s="81" t="s">
        <v>48</v>
      </c>
      <c r="I95" s="81" t="s">
        <v>49</v>
      </c>
      <c r="J95" s="29"/>
      <c r="K95" s="29"/>
      <c r="L95" s="8"/>
      <c r="M95" s="8"/>
      <c r="N95" s="8"/>
      <c r="O95" s="94"/>
    </row>
    <row r="96" spans="2:15" ht="13" x14ac:dyDescent="0.3">
      <c r="B96" s="92"/>
      <c r="C96" s="122" t="str">
        <f>IF(OR($D$7="c",D7="h"), "Tank diameter", IF($D$7="r","Longest Sidewall Length",""))</f>
        <v/>
      </c>
      <c r="D96" s="31">
        <f>'Tank#8'!D10</f>
        <v>0</v>
      </c>
      <c r="E96" s="66">
        <f>$D$96</f>
        <v>0</v>
      </c>
      <c r="F96" s="66">
        <f>$D$96</f>
        <v>0</v>
      </c>
      <c r="G96" s="66">
        <f>$D$96</f>
        <v>0</v>
      </c>
      <c r="H96" s="66">
        <f>$D$96</f>
        <v>0</v>
      </c>
      <c r="I96" s="66">
        <f>$D$96</f>
        <v>0</v>
      </c>
      <c r="J96" s="95" t="str">
        <f>IF(D8="y","","ft")</f>
        <v>ft</v>
      </c>
      <c r="K96" s="95"/>
      <c r="L96" s="8"/>
      <c r="M96" s="8"/>
      <c r="N96" s="8"/>
      <c r="O96" s="94"/>
    </row>
    <row r="97" spans="2:15" ht="13" x14ac:dyDescent="0.3">
      <c r="B97" s="92"/>
      <c r="C97" s="95" t="str">
        <f>IF(OR($D$7="c",D7="h"),"",IF($D$7="r","Shortest Sidewall Length",""))</f>
        <v/>
      </c>
      <c r="D97" s="33">
        <f>'Tank#8'!D11</f>
        <v>0</v>
      </c>
      <c r="E97" s="66">
        <f>$D$97</f>
        <v>0</v>
      </c>
      <c r="F97" s="66">
        <f>$D$97</f>
        <v>0</v>
      </c>
      <c r="G97" s="66">
        <f>$D$97</f>
        <v>0</v>
      </c>
      <c r="H97" s="66">
        <f>$D$97</f>
        <v>0</v>
      </c>
      <c r="I97" s="66">
        <f>$D$97</f>
        <v>0</v>
      </c>
      <c r="J97" s="95" t="str">
        <f>IF(D8="y","","ft")</f>
        <v>ft</v>
      </c>
      <c r="K97" s="95"/>
      <c r="L97" s="8"/>
      <c r="M97" s="8"/>
      <c r="N97" s="8"/>
      <c r="O97" s="94"/>
    </row>
    <row r="98" spans="2:15" ht="13" x14ac:dyDescent="0.3">
      <c r="B98" s="92"/>
      <c r="C98" s="346" t="s">
        <v>30</v>
      </c>
      <c r="D98" s="124">
        <f>'Tank#8'!D13</f>
        <v>0</v>
      </c>
      <c r="E98" s="345"/>
      <c r="F98" s="345"/>
      <c r="G98" s="345"/>
      <c r="H98" s="345"/>
      <c r="I98" s="345"/>
      <c r="J98" s="95" t="s">
        <v>1</v>
      </c>
      <c r="K98" s="95"/>
      <c r="L98" s="8"/>
      <c r="M98" s="8"/>
      <c r="N98" s="8"/>
      <c r="O98" s="94"/>
    </row>
    <row r="99" spans="2:15" ht="13" x14ac:dyDescent="0.3">
      <c r="B99" s="92"/>
      <c r="C99" s="346" t="str">
        <f>IF(D8="y","Fraction Full (Max Level)","High/Max Level")</f>
        <v>High/Max Level</v>
      </c>
      <c r="D99" s="80" t="b">
        <f>IF(OR($D$7="c",$D$7="r",$D$7="h"),(SUM(E53:E67)/COUNTIF(E53:E67,"&gt;0")),IF($D$8="y",(SUM(E53:E67)/COUNTIF(E53:E67,"&gt;0"))/($D$6*10^6)))</f>
        <v>0</v>
      </c>
      <c r="E99" s="345"/>
      <c r="F99" s="345"/>
      <c r="G99" s="345"/>
      <c r="H99" s="345"/>
      <c r="I99" s="345"/>
      <c r="J99" s="95" t="str">
        <f>IF(D8="y","","ft")</f>
        <v>ft</v>
      </c>
      <c r="K99" s="95"/>
      <c r="L99" s="8"/>
      <c r="M99" s="8"/>
      <c r="N99" s="8"/>
      <c r="O99" s="94"/>
    </row>
    <row r="100" spans="2:15" ht="13" x14ac:dyDescent="0.3">
      <c r="B100" s="92"/>
      <c r="C100" s="346" t="str">
        <f>IF(D8="y","Fraction Full (Min Level)","Low/Min Level")</f>
        <v>Low/Min Level</v>
      </c>
      <c r="D100" s="80" t="b">
        <f>IF(OR($D$7="c",$D$7="r",$D$7="s",$D$7="h"),(SUM(D53:D67)/COUNTIF(D53:D67,"&gt;0")),IF($D$8="y",(SUM(D53:D67)/COUNTIF(D53:D67,"&gt;0"))/($D$6*10^6)))</f>
        <v>0</v>
      </c>
      <c r="E100" s="345"/>
      <c r="F100" s="345"/>
      <c r="G100" s="345"/>
      <c r="H100" s="345"/>
      <c r="I100" s="345"/>
      <c r="J100" s="95" t="str">
        <f>IF(D8="y","","ft")</f>
        <v>ft</v>
      </c>
      <c r="K100" s="95"/>
      <c r="L100" s="8"/>
      <c r="M100" s="8"/>
      <c r="N100" s="8"/>
      <c r="O100" s="94"/>
    </row>
    <row r="101" spans="2:15" ht="15.5" x14ac:dyDescent="0.35">
      <c r="B101" s="92"/>
      <c r="C101" s="125" t="str">
        <f>IF(OR(D7="c", D7="r",D7="h"),"H/D ratio","")</f>
        <v/>
      </c>
      <c r="D101" s="490" t="str">
        <f t="shared" ref="D101:I101" si="10">IF(OR($D$7="c", $D$7="r",$D$7="h"),D99/D96,"")</f>
        <v/>
      </c>
      <c r="E101" s="124" t="str">
        <f t="shared" si="10"/>
        <v/>
      </c>
      <c r="F101" s="124" t="str">
        <f t="shared" si="10"/>
        <v/>
      </c>
      <c r="G101" s="124" t="str">
        <f t="shared" si="10"/>
        <v/>
      </c>
      <c r="H101" s="124" t="str">
        <f t="shared" si="10"/>
        <v/>
      </c>
      <c r="I101" s="124" t="str">
        <f t="shared" si="10"/>
        <v/>
      </c>
      <c r="J101" s="134"/>
      <c r="K101" s="148"/>
      <c r="L101" s="8"/>
      <c r="M101" s="8"/>
      <c r="N101" s="8"/>
      <c r="O101" s="94"/>
    </row>
    <row r="102" spans="2:15" ht="13" x14ac:dyDescent="0.3">
      <c r="B102" s="92"/>
      <c r="C102" s="123" t="str">
        <f>IF(D8="y","Actual Vol Change","Actual Level Change")</f>
        <v>Actual Level Change</v>
      </c>
      <c r="D102" s="124" t="e">
        <f>'Tank#8'!J73</f>
        <v>#DIV/0!</v>
      </c>
      <c r="E102" s="80" t="str">
        <f>IF(OR($D$7="c",$D$7="h",$D$7="r"),E99-E100,IF($D$8="y",($D$6*10^6)*(E99-E100),""))</f>
        <v/>
      </c>
      <c r="F102" s="80" t="str">
        <f>IF(OR($D$7="c",$D$7="h",$D$7="r"),F99-F100,IF($D$8="y",($D$6*10^6)*(F99-F100),""))</f>
        <v/>
      </c>
      <c r="G102" s="80" t="str">
        <f>IF(OR($D$7="c",$D$7="h",$D$7="r"),G99-G100,IF($D$8="y",($D$6*10^6)*(G99-G100),""))</f>
        <v/>
      </c>
      <c r="H102" s="80" t="str">
        <f>IF(OR($D$7="c",$D$7="h",$D$7="r"),H99-H100,IF($D$8="y",($D$6*10^6)*(H99-H100),""))</f>
        <v/>
      </c>
      <c r="I102" s="80" t="str">
        <f>IF(OR($D$7="c",$D$7="h",$D$7="r"),I99-I100,IF($D$8="y",($D$6*10^6)*(I99-I100),""))</f>
        <v/>
      </c>
      <c r="J102" s="95" t="str">
        <f>IF(OR(D7="c",D7="r"),"ft",IF(AND(D7="n",D8="y"),"gal",""))</f>
        <v/>
      </c>
      <c r="K102" s="95"/>
      <c r="L102" s="8"/>
      <c r="M102" s="8"/>
      <c r="N102" s="8"/>
      <c r="O102" s="94"/>
    </row>
    <row r="103" spans="2:15" ht="13" x14ac:dyDescent="0.3">
      <c r="B103" s="92"/>
      <c r="C103" s="123" t="s">
        <v>94</v>
      </c>
      <c r="D103" s="494" t="e">
        <f>IF('Tank Summary'!$K$16="y",IF((D99/$D$10)&lt;=1,10.2,(3.58*(D99/$D$10)+6.66)),"Tank mixing equations do not apply")</f>
        <v>#DIV/0!</v>
      </c>
      <c r="E103" s="494" t="e">
        <f>IF('Tank Summary'!$K$16="y",IF((E99/$D$10)&lt;=1,10.2,(3.58*(E99/$D$10)+6.66)),"Tank mixing equations do not apply")</f>
        <v>#DIV/0!</v>
      </c>
      <c r="F103" s="494" t="e">
        <f>IF('Tank Summary'!$K$16="y",IF((F99/$D$10)&lt;=1,10.2,(3.58*(F99/$D$10)+6.66)),"Tank mixing equations do not apply")</f>
        <v>#DIV/0!</v>
      </c>
      <c r="G103" s="494" t="e">
        <f>IF('Tank Summary'!$K$16="y",IF((G99/$D$10)&lt;=1,10.2,(3.58*(G99/$D$10)+6.66)),"Tank mixing equations do not apply")</f>
        <v>#DIV/0!</v>
      </c>
      <c r="H103" s="494" t="e">
        <f>IF('Tank Summary'!$K$16="y",IF((H99/$D$10)&lt;=1,10.2,(3.58*(H99/$D$10)+6.66)),"Tank mixing equations do not apply")</f>
        <v>#DIV/0!</v>
      </c>
      <c r="I103" s="494" t="e">
        <f>IF('Tank Summary'!$K$16="y",IF((I99/$D$10)&lt;=1,10.2,(3.58*(I99/$D$10)+6.66)),"Tank mixing equations do not apply")</f>
        <v>#DIV/0!</v>
      </c>
      <c r="J103" s="95"/>
      <c r="K103" s="95"/>
      <c r="L103" s="8"/>
      <c r="M103" s="8"/>
      <c r="N103" s="8"/>
      <c r="O103" s="94"/>
    </row>
    <row r="104" spans="2:15" ht="26" x14ac:dyDescent="0.3">
      <c r="B104" s="92"/>
      <c r="C104" s="123" t="str">
        <f>IF(D8="y","Desired Vol Change Needed for Good Mixing","Desired Level Change Needed for Good Mixing")</f>
        <v>Desired Level Change Needed for Good Mixing</v>
      </c>
      <c r="D104" s="124" t="e">
        <f>'Tank#8'!J74</f>
        <v>#DIV/0!</v>
      </c>
      <c r="E104" s="80" t="str">
        <f>IF(OR($D$7="c",$D$7="h"),(((E103/1.13)*E98)/((E100*PI()*(E96/2)^2)^(1/3)))*E100,IF($D$7="r",(((E103/1.13)*E98)/((E100*E96*E97)^(1/3)))*E100,IF($D$8="y",(((E103/1.13)*E98)/(((E100*$D$6*10^6)/7.480519)^(1/3)))*(E100*$D$6*10^6),"")))</f>
        <v/>
      </c>
      <c r="F104" s="80" t="str">
        <f>IF(OR($D$7="c",$D$7="h"),(((F103/1.13)*F98)/((F100*PI()*(F96/2)^2)^(1/3)))*F100,IF($D$7="r",(((F103/1.13)*F98)/((F100*F96*F97)^(1/3)))*F100,IF($D$8="y",(((F103/1.13)*F98)/(((F100*$D$6*10^6)/7.480519)^(1/3)))*(F100*$D$6*10^6),"")))</f>
        <v/>
      </c>
      <c r="G104" s="80" t="str">
        <f>IF(OR($D$7="c",$D$7="h"),(((G103/1.13)*G98)/((G100*PI()*(G96/2)^2)^(1/3)))*G100,IF($D$7="r",(((G103/1.13)*G98)/((G100*G96*G97)^(1/3)))*G100,IF($D$8="y",(((G103/1.13)*G98)/(((G100*$D$6*10^6)/7.480519)^(1/3)))*(G100*$D$6*10^6),"")))</f>
        <v/>
      </c>
      <c r="H104" s="80" t="str">
        <f>IF(OR($D$7="c",$D$7="h"),(((H103/1.13)*H98)/((H100*PI()*(H96/2)^2)^(1/3)))*H100,IF($D$7="r",(((H103/1.13)*H98)/((H100*H96*H97)^(1/3)))*H100,IF($D$8="y",(((H103/1.13)*H98)/(((H100*$D$6*10^6)/7.480519)^(1/3)))*(H100*$D$6*10^6),"")))</f>
        <v/>
      </c>
      <c r="I104" s="80" t="str">
        <f>IF(OR($D$7="c",$D$7="h"),(((I103/1.13)*I98)/((I100*PI()*(I96/2)^2)^(1/3)))*I100,IF($D$7="r",(((I103/1.13)*I98)/((I100*I96*I97)^(1/3)))*I100,IF($D$8="y",(((I103/1.13)*I98)/(((I100*$D$6*10^6)/7.480519)^(1/3)))*(I100*$D$6*10^6),"")))</f>
        <v/>
      </c>
      <c r="J104" s="95" t="str">
        <f>IF(OR(D7="c",D7="r"),"ft",IF(AND(D7="n",D8="y"),"gal",""))</f>
        <v/>
      </c>
      <c r="K104" s="95"/>
      <c r="L104" s="8"/>
      <c r="M104" s="8"/>
      <c r="N104" s="8"/>
      <c r="O104" s="94"/>
    </row>
    <row r="105" spans="2:15" ht="39" customHeight="1" x14ac:dyDescent="0.3">
      <c r="B105" s="92"/>
      <c r="C105" s="105" t="str">
        <f>IF(D8="y","","Pressure Drop After Change in Min Water Level")</f>
        <v>Pressure Drop After Change in Min Water Level</v>
      </c>
      <c r="D105" s="12"/>
      <c r="E105" s="12">
        <f>IF($D$8="y","",($D$100-E100)/2.31)</f>
        <v>0</v>
      </c>
      <c r="F105" s="12">
        <f>IF($D$8="y","",($D$100-F100)/2.31)</f>
        <v>0</v>
      </c>
      <c r="G105" s="12">
        <f>IF($D$8="y","",($D$100-G100)/2.31)</f>
        <v>0</v>
      </c>
      <c r="H105" s="12">
        <f>IF($D$8="y","",($D$100-H100)/2.31)</f>
        <v>0</v>
      </c>
      <c r="I105" s="12">
        <f>IF($D$8="y","",($D$100-I100)/2.31)</f>
        <v>0</v>
      </c>
      <c r="J105" s="95" t="str">
        <f>IF(OR(D7="c",D7="r",D7="h"),"psi",IF(AND(D7="n",D8="y"),"",""))</f>
        <v/>
      </c>
      <c r="K105" s="95"/>
      <c r="L105" s="8"/>
      <c r="M105" s="8"/>
      <c r="N105" s="8"/>
      <c r="O105" s="94"/>
    </row>
    <row r="106" spans="2:15" ht="13" x14ac:dyDescent="0.3">
      <c r="B106" s="92"/>
      <c r="C106" s="123" t="s">
        <v>287</v>
      </c>
      <c r="D106" s="33" t="e">
        <f>'Tank#8'!E74</f>
        <v>#DIV/0!</v>
      </c>
      <c r="E106" s="33" t="e">
        <f>D106</f>
        <v>#DIV/0!</v>
      </c>
      <c r="F106" s="33" t="e">
        <f>E106</f>
        <v>#DIV/0!</v>
      </c>
      <c r="G106" s="33" t="e">
        <f>F106</f>
        <v>#DIV/0!</v>
      </c>
      <c r="H106" s="159" t="e">
        <f>G106</f>
        <v>#DIV/0!</v>
      </c>
      <c r="I106" s="159" t="e">
        <f>H106</f>
        <v>#DIV/0!</v>
      </c>
      <c r="J106" s="95" t="s">
        <v>26</v>
      </c>
      <c r="K106" s="95"/>
      <c r="L106" s="8"/>
      <c r="M106" s="8"/>
      <c r="N106" s="8"/>
      <c r="O106" s="94"/>
    </row>
    <row r="107" spans="2:15" ht="26" x14ac:dyDescent="0.3">
      <c r="B107" s="92"/>
      <c r="C107" s="105" t="s">
        <v>286</v>
      </c>
      <c r="D107" s="33" t="e">
        <f>'Tank#8'!E75</f>
        <v>#DIV/0!</v>
      </c>
      <c r="E107" s="33" t="e">
        <f>D107</f>
        <v>#DIV/0!</v>
      </c>
      <c r="F107" s="33" t="e">
        <f>D107</f>
        <v>#DIV/0!</v>
      </c>
      <c r="G107" s="33" t="e">
        <f>D107</f>
        <v>#DIV/0!</v>
      </c>
      <c r="H107" s="159" t="e">
        <f>D107</f>
        <v>#DIV/0!</v>
      </c>
      <c r="I107" s="159" t="e">
        <f>D107</f>
        <v>#DIV/0!</v>
      </c>
      <c r="J107" s="95" t="s">
        <v>26</v>
      </c>
      <c r="K107" s="95"/>
      <c r="L107" s="8"/>
      <c r="M107" s="8"/>
      <c r="N107" s="8"/>
      <c r="O107" s="94"/>
    </row>
    <row r="108" spans="2:15" ht="13" x14ac:dyDescent="0.3">
      <c r="B108" s="92"/>
      <c r="C108" s="123" t="s">
        <v>36</v>
      </c>
      <c r="D108" s="11" t="e">
        <f>'Tank#8'!E72</f>
        <v>#DIV/0!</v>
      </c>
      <c r="E108" s="11" t="e">
        <f>ROUND(IF(OR($D$7="c",$D$7="h"),(E99-E100)*PI()*((E96/2)^2)*7.480519/(E106*24*60),IF($D$7="r",(E99-E100)*E96*E97*7.480519/(E106*24*60),IF($D$8="y",((E99*$D$6*10^6)-(E100*$D$6*10^6))/(E106*24*60),""))),2)</f>
        <v>#VALUE!</v>
      </c>
      <c r="F108" s="11" t="e">
        <f>ROUND(IF(OR($D$7="c",$D$7="h"),(F99-F100)*PI()*((F96/2)^2)*7.480519/(F106*24*60),IF($D$7="r",(F99-F100)*F96*F97*7.480519/(F106*24*60),IF($D$8="y",((F99*$D$6*10^6)-(F100*$D$6*10^6))/(F106*24*60),""))),2)</f>
        <v>#VALUE!</v>
      </c>
      <c r="G108" s="11" t="e">
        <f>ROUND(IF(OR($D$7="c",$D$7="h"),(G99-G100)*PI()*((G96/2)^2)*7.480519/(G106*24*60),IF($D$7="r",(G99-G100)*G96*G97*7.480519/(G106*24*60),IF($D$8="y",((G99*$D$6*10^6)-(G100*$D$6*10^6))/(G106*24*60),""))),2)</f>
        <v>#VALUE!</v>
      </c>
      <c r="H108" s="11" t="e">
        <f>ROUND(IF(OR($D$7="c",$D$7="h"),(H99-H100)*PI()*((H96/2)^2)*7.480519/(H106*24*60),IF($D$7="r",(H99-H100)*H96*H97*7.480519/(H106*24*60),IF($D$8="y",((H99*$D$6*10^6)-(H100*$D$6*10^6))/(H106*24*60),""))),2)</f>
        <v>#VALUE!</v>
      </c>
      <c r="I108" s="11" t="e">
        <f>ROUND(IF(OR($D$7="c",$D$7="h"),(I99-I100)*PI()*((I96/2)^2)*7.480519/(I106*24*60),IF($D$7="r",(I99-I100)*I96*I97*7.480519/(I106*24*60),IF($D$8="y",((I99*$D$6*10^6)-(I100*$D$6*10^6))/(I106*24*60),""))),2)</f>
        <v>#VALUE!</v>
      </c>
      <c r="J108" s="95" t="s">
        <v>2</v>
      </c>
      <c r="K108" s="95"/>
      <c r="L108" s="8"/>
      <c r="M108" s="8"/>
      <c r="N108" s="8"/>
      <c r="O108" s="94"/>
    </row>
    <row r="109" spans="2:15" ht="13" x14ac:dyDescent="0.3">
      <c r="B109" s="92"/>
      <c r="C109" s="105" t="s">
        <v>37</v>
      </c>
      <c r="D109" s="11" t="e">
        <f>'Tank#8'!E73</f>
        <v>#DIV/0!</v>
      </c>
      <c r="E109" s="11" t="e">
        <f>ROUND(IF(OR($D$7="c",$D$7="h"),(E99-E100)*PI()*((E96/2)^2)*7.480519/(E107*24*60),IF($D$7="r",(E99-E100)*E96*E97*7.480519/(E107*24*60),IF($D$8="y",((E99*$D$6*10^6)-(E100*$D$6*10^6))/(E107*24*60),""))),2)</f>
        <v>#VALUE!</v>
      </c>
      <c r="F109" s="11" t="e">
        <f>ROUND(IF(OR($D$7="c",$D$7="h"),(F99-F100)*PI()*((F96/2)^2)*7.480519/(F107*24*60),IF($D$7="r",(F99-F100)*F96*F97*7.480519/(F107*24*60),IF($D$8="y",((F99*$D$6*10^6)-(F100*$D$6*10^6))/(F107*24*60),""))),2)</f>
        <v>#VALUE!</v>
      </c>
      <c r="G109" s="11" t="e">
        <f>ROUND(IF(OR($D$7="c",$D$7="h"),(G99-G100)*PI()*((G96/2)^2)*7.480519/(G107*24*60),IF($D$7="r",(G99-G100)*G96*G97*7.480519/(G107*24*60),IF($D$8="y",((G99*$D$6*10^6)-(G100*$D$6*10^6))/(G107*24*60),""))),2)</f>
        <v>#VALUE!</v>
      </c>
      <c r="H109" s="11" t="e">
        <f>ROUND(IF(OR($D$7="c",$D$7="h"),(H99-H100)*PI()*((H96/2)^2)*7.480519/(H107*24*60),IF($D$7="r",(H99-H100)*H96*H97*7.480519/(H107*24*60),IF($D$8="y",((H99*$D$6*10^6)-(H100*$D$6*10^6))/(H107*24*60),""))),2)</f>
        <v>#VALUE!</v>
      </c>
      <c r="I109" s="11" t="e">
        <f>ROUND(IF(OR($D$7="c",$D$7="h"),(I99-I100)*PI()*((I96/2)^2)*7.480519/(I107*24*60),IF($D$7="r",(I99-I100)*I96*I97*7.480519/(I107*24*60),IF($D$8="y",((I99*$D$6*10^6)-(I100*$D$6*10^6))/(I107*24*60),""))),2)</f>
        <v>#VALUE!</v>
      </c>
      <c r="J109" s="95" t="s">
        <v>2</v>
      </c>
      <c r="K109" s="95"/>
      <c r="L109" s="8"/>
      <c r="M109" s="8"/>
      <c r="N109" s="8"/>
      <c r="O109" s="94"/>
    </row>
    <row r="110" spans="2:15" ht="26" x14ac:dyDescent="0.3">
      <c r="B110" s="92"/>
      <c r="C110" s="123" t="s">
        <v>288</v>
      </c>
      <c r="D110" s="11" t="e">
        <f>'Tank#8'!E70</f>
        <v>#DIV/0!</v>
      </c>
      <c r="E110" s="11" t="str">
        <f>IF(OR($D$7="c",$D$7="h"),(E99-E100)*PI()*((E96/2)^2)*7.480519/10^6,IF($D$7="r",(E99-E100)*E96*E97*7.480519/10^6,IF($D$8="y",((E99*$D$6*10^6)-(E100*$D$6*10^6))/10^6,"")))</f>
        <v/>
      </c>
      <c r="F110" s="11" t="str">
        <f>IF(OR($D$7="c",$D$7="h"),(F99-F100)*PI()*((F96/2)^2)*7.480519/10^6,IF($D$7="r",(F99-F100)*F96*F97*7.480519/10^6,IF($D$8="y",((F99*$D$6*10^6)-(F100*$D$6*10^6))/10^6,"")))</f>
        <v/>
      </c>
      <c r="G110" s="11" t="str">
        <f>IF(OR($D$7="c",$D$7="h"),(G99-G100)*PI()*((G96/2)^2)*7.480519/10^6,IF($D$7="r",(G99-G100)*G96*G97*7.480519/10^6,IF($D$8="y",((G99*$D$6*10^6)-(G100*$D$6*10^6))/10^6,"")))</f>
        <v/>
      </c>
      <c r="H110" s="11" t="str">
        <f>IF(OR($D$7="c",$D$7="h"),(H99-H100)*PI()*((H96/2)^2)*7.480519/10^6,IF($D$7="r",(H99-H100)*H96*H97*7.480519/10^6,IF($D$8="y",((H99*$D$6*10^6)-(H100*$D$6*10^6))/10^6,"")))</f>
        <v/>
      </c>
      <c r="I110" s="11" t="str">
        <f>IF(OR($D$7="c",$D$7="h"),(I99-I100)*PI()*((I96/2)^2)*7.480519/10^6,IF($D$7="r",(I99-I100)*I96*I97*7.480519/10^6,IF($D$8="y",((I99*$D$6*10^6)-(I100*$D$6*10^6))/10^6,"")))</f>
        <v/>
      </c>
      <c r="J110" s="95" t="s">
        <v>5</v>
      </c>
      <c r="K110" s="95"/>
      <c r="L110" s="8"/>
      <c r="M110" s="8"/>
      <c r="N110" s="8"/>
      <c r="O110" s="94"/>
    </row>
    <row r="111" spans="2:15" ht="13" x14ac:dyDescent="0.3">
      <c r="B111" s="92"/>
      <c r="C111" s="105" t="s">
        <v>52</v>
      </c>
      <c r="D111" s="11" t="e">
        <f>'Tank#8'!E76</f>
        <v>#DIV/0!</v>
      </c>
      <c r="E111" s="11" t="e">
        <f>E109+E108</f>
        <v>#VALUE!</v>
      </c>
      <c r="F111" s="11" t="e">
        <f>F109+F108</f>
        <v>#VALUE!</v>
      </c>
      <c r="G111" s="11" t="e">
        <f>G109+G108</f>
        <v>#VALUE!</v>
      </c>
      <c r="H111" s="11" t="e">
        <f>H109+H108</f>
        <v>#VALUE!</v>
      </c>
      <c r="I111" s="11" t="e">
        <f>I109+I108</f>
        <v>#VALUE!</v>
      </c>
      <c r="J111" s="95" t="s">
        <v>2</v>
      </c>
      <c r="K111" s="95"/>
      <c r="L111" s="8"/>
      <c r="M111" s="8"/>
      <c r="N111" s="8"/>
      <c r="O111" s="94"/>
    </row>
    <row r="112" spans="2:15" ht="13" x14ac:dyDescent="0.3">
      <c r="B112" s="92"/>
      <c r="C112" s="123" t="s">
        <v>289</v>
      </c>
      <c r="D112" s="11" t="e">
        <f>'Tank#8'!$E$77</f>
        <v>#DIV/0!</v>
      </c>
      <c r="E112" s="32" t="e">
        <f>E110/E111</f>
        <v>#VALUE!</v>
      </c>
      <c r="F112" s="32" t="e">
        <f>F110/F111</f>
        <v>#VALUE!</v>
      </c>
      <c r="G112" s="32" t="e">
        <f>G110/G111</f>
        <v>#VALUE!</v>
      </c>
      <c r="H112" s="32" t="e">
        <f>H110/H111</f>
        <v>#VALUE!</v>
      </c>
      <c r="I112" s="32" t="e">
        <f>I110/I111</f>
        <v>#VALUE!</v>
      </c>
      <c r="J112" s="95" t="s">
        <v>3</v>
      </c>
      <c r="K112" s="95"/>
      <c r="L112" s="8"/>
      <c r="M112" s="8"/>
      <c r="N112" s="8"/>
      <c r="O112" s="94"/>
    </row>
    <row r="113" spans="2:15" ht="13" x14ac:dyDescent="0.3">
      <c r="B113" s="92"/>
      <c r="C113" s="105" t="s">
        <v>44</v>
      </c>
      <c r="D113" s="11" t="e">
        <f>'Tank#8'!$E$78</f>
        <v>#DIV/0!</v>
      </c>
      <c r="E113" s="32" t="str">
        <f>IF(OR($D$7="c",$D$7="h"),((E99+E100)/2)*PI()*((E96/2)^2)*7.480519/10^6,IF($D$7="r",((E99+E100)/2)*E96*E97*7.480519/10^6,IF($D$8="y",(((E99*$D$6*10^6)+(E100*$D$6*10^6))/2)/10^6,"")))</f>
        <v/>
      </c>
      <c r="F113" s="32" t="str">
        <f>IF(OR($D$7="c",$D$7="h"),((F99+F100)/2)*PI()*((F96/2)^2)*7.480519/10^6,IF($D$7="r",((F99+F100)/2)*F96*F97*7.480519/10^6,IF($D$8="y",(((F99*$D$6*10^6)+(F100*$D$6*10^6))/2)/10^6,"")))</f>
        <v/>
      </c>
      <c r="G113" s="32" t="str">
        <f>IF(OR($D$7="c",$D$7="h"),((G99+G100)/2)*PI()*((G96/2)^2)*7.480519/10^6,IF($D$7="r",((G99+G100)/2)*G96*G97*7.480519/10^6,IF($D$8="y",(((G99*$D$6*10^6)+(G100*$D$6*10^6))/2)/10^6,"")))</f>
        <v/>
      </c>
      <c r="H113" s="32" t="str">
        <f>IF(OR($D$7="c",$D$7="h"),((H99+H100)/2)*PI()*((H96/2)^2)*7.480519/10^6,IF($D$7="r",((H99+H100)/2)*H96*H97*7.480519/10^6,IF($D$8="y",(((H99*$D$6*10^6)+(H100*$D$6*10^6))/2)/10^6,"")))</f>
        <v/>
      </c>
      <c r="I113" s="32" t="str">
        <f>IF(OR($D$7="c",$D$7="h"),((I99+I100)/2)*PI()*((I96/2)^2)*7.480519/10^6,IF($D$7="r",((I99+I100)/2)*I96*I97*7.480519/10^6,IF($D$8="y",(((I99*$D$6*10^6)+(I100*$D$6*10^6))/2)/10^6,"")))</f>
        <v/>
      </c>
      <c r="J113" s="95" t="s">
        <v>5</v>
      </c>
      <c r="K113" s="95"/>
      <c r="L113" s="8"/>
      <c r="M113" s="8"/>
      <c r="N113" s="8"/>
      <c r="O113" s="94"/>
    </row>
    <row r="114" spans="2:15" ht="26" x14ac:dyDescent="0.3">
      <c r="B114" s="92"/>
      <c r="C114" s="137" t="s">
        <v>57</v>
      </c>
      <c r="D114" s="138" t="e">
        <f>'Tank#8'!J75</f>
        <v>#DIV/0!</v>
      </c>
      <c r="E114" s="139" t="e">
        <f>E102/E104</f>
        <v>#VALUE!</v>
      </c>
      <c r="F114" s="139" t="e">
        <f>F102/F104</f>
        <v>#VALUE!</v>
      </c>
      <c r="G114" s="139" t="e">
        <f>G102/G104</f>
        <v>#VALUE!</v>
      </c>
      <c r="H114" s="139" t="e">
        <f>H102/H104</f>
        <v>#VALUE!</v>
      </c>
      <c r="I114" s="139" t="e">
        <f>I102/I104</f>
        <v>#VALUE!</v>
      </c>
      <c r="J114" s="95"/>
      <c r="K114" s="95"/>
      <c r="L114" s="8"/>
      <c r="M114" s="8"/>
      <c r="N114" s="8"/>
      <c r="O114" s="94"/>
    </row>
    <row r="115" spans="2:15" ht="13" x14ac:dyDescent="0.3">
      <c r="B115" s="92"/>
      <c r="C115" s="137" t="s">
        <v>8</v>
      </c>
      <c r="D115" s="140" t="e">
        <f>'Tank#8'!$E$79</f>
        <v>#DIV/0!</v>
      </c>
      <c r="E115" s="140" t="e">
        <f>E113/E112</f>
        <v>#VALUE!</v>
      </c>
      <c r="F115" s="140" t="e">
        <f>F113/F112</f>
        <v>#VALUE!</v>
      </c>
      <c r="G115" s="140" t="e">
        <f>G113/G112</f>
        <v>#VALUE!</v>
      </c>
      <c r="H115" s="140" t="e">
        <f>H113/H112</f>
        <v>#VALUE!</v>
      </c>
      <c r="I115" s="140" t="e">
        <f>I113/I112</f>
        <v>#VALUE!</v>
      </c>
      <c r="J115" s="95" t="s">
        <v>2</v>
      </c>
      <c r="K115" s="95"/>
      <c r="L115" s="8"/>
      <c r="M115" s="8"/>
      <c r="N115" s="8"/>
      <c r="O115" s="94"/>
    </row>
    <row r="116" spans="2:15" ht="13.5" thickBot="1" x14ac:dyDescent="0.35">
      <c r="B116" s="101"/>
      <c r="C116" s="102"/>
      <c r="D116" s="102"/>
      <c r="E116" s="102"/>
      <c r="F116" s="102"/>
      <c r="G116" s="106"/>
      <c r="H116" s="106"/>
      <c r="I116" s="107"/>
      <c r="J116" s="102"/>
      <c r="K116" s="102"/>
      <c r="L116" s="102"/>
      <c r="M116" s="102"/>
      <c r="N116" s="102"/>
      <c r="O116" s="103"/>
    </row>
    <row r="117" spans="2:15" ht="18.5" hidden="1" thickBot="1" x14ac:dyDescent="0.45">
      <c r="B117" s="116" t="s">
        <v>191</v>
      </c>
      <c r="C117" s="111"/>
      <c r="D117" s="120"/>
      <c r="E117" s="111"/>
      <c r="F117" s="111"/>
      <c r="G117" s="111"/>
      <c r="H117" s="111"/>
      <c r="I117" s="111"/>
      <c r="J117" s="111"/>
      <c r="K117" s="111"/>
      <c r="L117" s="118"/>
      <c r="M117" s="118"/>
      <c r="N117" s="118"/>
      <c r="O117" s="119"/>
    </row>
    <row r="118" spans="2:15" hidden="1" x14ac:dyDescent="0.25">
      <c r="B118" s="149"/>
      <c r="C118" s="104"/>
      <c r="D118" s="104"/>
      <c r="E118" s="104"/>
      <c r="F118" s="104"/>
      <c r="G118" s="104"/>
      <c r="H118" s="104"/>
      <c r="I118" s="104"/>
      <c r="J118" s="104"/>
      <c r="K118" s="104"/>
      <c r="L118" s="90"/>
      <c r="M118" s="90"/>
      <c r="N118" s="90"/>
      <c r="O118" s="91"/>
    </row>
    <row r="119" spans="2:15" ht="13" hidden="1" x14ac:dyDescent="0.3">
      <c r="B119" s="92"/>
      <c r="C119" s="95" t="s">
        <v>86</v>
      </c>
      <c r="D119" s="29"/>
      <c r="E119" s="29"/>
      <c r="F119" s="29"/>
      <c r="G119" s="29"/>
      <c r="H119" s="29"/>
      <c r="I119" s="29"/>
      <c r="J119" s="29"/>
      <c r="K119" s="29"/>
      <c r="L119" s="8"/>
      <c r="M119" s="8"/>
      <c r="N119" s="8"/>
      <c r="O119" s="94"/>
    </row>
    <row r="120" spans="2:15" ht="13" hidden="1" x14ac:dyDescent="0.3">
      <c r="B120" s="92"/>
      <c r="C120" s="95" t="s">
        <v>88</v>
      </c>
      <c r="D120" s="29"/>
      <c r="E120" s="29"/>
      <c r="F120" s="29"/>
      <c r="G120" s="29"/>
      <c r="H120" s="29"/>
      <c r="I120" s="29"/>
      <c r="J120" s="29"/>
      <c r="K120" s="29"/>
      <c r="L120" s="8"/>
      <c r="M120" s="8"/>
      <c r="N120" s="8"/>
      <c r="O120" s="94"/>
    </row>
    <row r="121" spans="2:15" ht="13" hidden="1" x14ac:dyDescent="0.3">
      <c r="B121" s="92"/>
      <c r="C121" s="95" t="s">
        <v>89</v>
      </c>
      <c r="D121" s="29"/>
      <c r="E121" s="29"/>
      <c r="F121" s="29"/>
      <c r="G121" s="29"/>
      <c r="H121" s="29"/>
      <c r="I121" s="29"/>
      <c r="J121" s="29"/>
      <c r="K121" s="29"/>
      <c r="L121" s="8"/>
      <c r="M121" s="8"/>
      <c r="N121" s="8"/>
      <c r="O121" s="94"/>
    </row>
    <row r="122" spans="2:15" ht="13" hidden="1" x14ac:dyDescent="0.3">
      <c r="B122" s="92"/>
      <c r="C122" s="95" t="s">
        <v>90</v>
      </c>
      <c r="D122" s="29"/>
      <c r="E122" s="29"/>
      <c r="F122" s="29"/>
      <c r="G122" s="29"/>
      <c r="H122" s="29"/>
      <c r="I122" s="29"/>
      <c r="J122" s="29"/>
      <c r="K122" s="29"/>
      <c r="L122" s="8"/>
      <c r="M122" s="8"/>
      <c r="N122" s="8"/>
      <c r="O122" s="94"/>
    </row>
    <row r="123" spans="2:15" ht="13" hidden="1" x14ac:dyDescent="0.3">
      <c r="B123" s="92"/>
      <c r="C123" s="113"/>
      <c r="D123" s="29"/>
      <c r="E123" s="29"/>
      <c r="F123" s="29"/>
      <c r="G123" s="29"/>
      <c r="H123" s="29"/>
      <c r="I123" s="29"/>
      <c r="J123" s="29"/>
      <c r="K123" s="29"/>
      <c r="L123" s="8"/>
      <c r="M123" s="8"/>
      <c r="N123" s="8"/>
      <c r="O123" s="94"/>
    </row>
    <row r="124" spans="2:15" ht="39" hidden="1" x14ac:dyDescent="0.3">
      <c r="B124" s="92"/>
      <c r="C124" s="29"/>
      <c r="D124" s="133" t="s">
        <v>79</v>
      </c>
      <c r="E124" s="81" t="s">
        <v>45</v>
      </c>
      <c r="F124" s="81" t="s">
        <v>46</v>
      </c>
      <c r="G124" s="81" t="s">
        <v>47</v>
      </c>
      <c r="H124" s="81" t="s">
        <v>48</v>
      </c>
      <c r="I124" s="81" t="s">
        <v>49</v>
      </c>
      <c r="J124" s="29"/>
      <c r="K124" s="29"/>
      <c r="L124" s="8"/>
      <c r="M124" s="8"/>
      <c r="N124" s="8"/>
      <c r="O124" s="94"/>
    </row>
    <row r="125" spans="2:15" ht="13" hidden="1" x14ac:dyDescent="0.3">
      <c r="B125" s="92"/>
      <c r="C125" s="123" t="str">
        <f>IF(D49="y","Fraction Full (Max Level)","High/Max Level")</f>
        <v>High/Max Level</v>
      </c>
      <c r="D125" s="132" t="b">
        <f>IF(OR($D$7="c",$D$7="r",D7="h"),(SUM(E53:E67)/COUNTIF(E53:E67,"&gt;0")),IF($D$8="y",(SUM(E53:E67)/COUNTIF(E53:E67,"&gt;0"))/($D$6*10^6)))</f>
        <v>0</v>
      </c>
      <c r="E125" s="135">
        <f t="shared" ref="E125:I126" si="11">E99</f>
        <v>0</v>
      </c>
      <c r="F125" s="135">
        <f t="shared" si="11"/>
        <v>0</v>
      </c>
      <c r="G125" s="135">
        <f t="shared" si="11"/>
        <v>0</v>
      </c>
      <c r="H125" s="135">
        <f t="shared" si="11"/>
        <v>0</v>
      </c>
      <c r="I125" s="135">
        <f t="shared" si="11"/>
        <v>0</v>
      </c>
      <c r="J125" s="95" t="str">
        <f>IF(D49="y","","ft")</f>
        <v>ft</v>
      </c>
      <c r="K125" s="95"/>
      <c r="L125" s="8"/>
      <c r="M125" s="8"/>
      <c r="N125" s="8"/>
      <c r="O125" s="94"/>
    </row>
    <row r="126" spans="2:15" ht="13" hidden="1" x14ac:dyDescent="0.3">
      <c r="B126" s="92"/>
      <c r="C126" s="123" t="str">
        <f>IF(D49="y","Fraction Full (Min Level)","Low/Min Level")</f>
        <v>Low/Min Level</v>
      </c>
      <c r="D126" s="132" t="b">
        <f>IF(OR($D$7="c",$D$7="r",D7="h"),(SUM(D53:D67)/COUNTIF(D53:D67,"&gt;0")),IF($D$8="y",(SUM(D53:D67)/COUNTIF(D53:D67,"&gt;0"))/($D$6*10^6)))</f>
        <v>0</v>
      </c>
      <c r="E126" s="135">
        <f t="shared" si="11"/>
        <v>0</v>
      </c>
      <c r="F126" s="135">
        <f t="shared" si="11"/>
        <v>0</v>
      </c>
      <c r="G126" s="135">
        <f t="shared" si="11"/>
        <v>0</v>
      </c>
      <c r="H126" s="135">
        <f t="shared" si="11"/>
        <v>0</v>
      </c>
      <c r="I126" s="135">
        <f t="shared" si="11"/>
        <v>0</v>
      </c>
      <c r="J126" s="95" t="str">
        <f>IF(D49="y","","ft")</f>
        <v>ft</v>
      </c>
      <c r="K126" s="95"/>
      <c r="L126" s="8"/>
      <c r="M126" s="8"/>
      <c r="N126" s="8"/>
      <c r="O126" s="94"/>
    </row>
    <row r="127" spans="2:15" ht="24.75" hidden="1" customHeight="1" x14ac:dyDescent="0.3">
      <c r="B127" s="92"/>
      <c r="C127" s="137" t="s">
        <v>87</v>
      </c>
      <c r="D127" s="141" t="e">
        <f>D114</f>
        <v>#DIV/0!</v>
      </c>
      <c r="E127" s="141" t="e">
        <f t="shared" ref="E127:I128" si="12">E114</f>
        <v>#VALUE!</v>
      </c>
      <c r="F127" s="141" t="e">
        <f t="shared" si="12"/>
        <v>#VALUE!</v>
      </c>
      <c r="G127" s="141" t="e">
        <f t="shared" si="12"/>
        <v>#VALUE!</v>
      </c>
      <c r="H127" s="141" t="e">
        <f t="shared" si="12"/>
        <v>#VALUE!</v>
      </c>
      <c r="I127" s="141" t="e">
        <f t="shared" si="12"/>
        <v>#VALUE!</v>
      </c>
      <c r="J127" s="95"/>
      <c r="K127" s="95"/>
      <c r="L127" s="8"/>
      <c r="M127" s="8"/>
      <c r="N127" s="8"/>
      <c r="O127" s="94"/>
    </row>
    <row r="128" spans="2:15" ht="13" hidden="1" x14ac:dyDescent="0.3">
      <c r="B128" s="92"/>
      <c r="C128" s="137" t="s">
        <v>8</v>
      </c>
      <c r="D128" s="142" t="e">
        <f>D115</f>
        <v>#DIV/0!</v>
      </c>
      <c r="E128" s="140" t="e">
        <f t="shared" si="12"/>
        <v>#VALUE!</v>
      </c>
      <c r="F128" s="140" t="e">
        <f t="shared" si="12"/>
        <v>#VALUE!</v>
      </c>
      <c r="G128" s="140" t="e">
        <f t="shared" si="12"/>
        <v>#VALUE!</v>
      </c>
      <c r="H128" s="140" t="e">
        <f t="shared" si="12"/>
        <v>#VALUE!</v>
      </c>
      <c r="I128" s="140" t="e">
        <f t="shared" si="12"/>
        <v>#VALUE!</v>
      </c>
      <c r="J128" s="95" t="s">
        <v>2</v>
      </c>
      <c r="K128" s="95"/>
      <c r="L128" s="8"/>
      <c r="M128" s="8"/>
      <c r="N128" s="8"/>
      <c r="O128" s="94"/>
    </row>
    <row r="129" spans="2:15" ht="39" hidden="1" x14ac:dyDescent="0.3">
      <c r="B129" s="92"/>
      <c r="C129" s="161" t="s">
        <v>84</v>
      </c>
      <c r="D129" s="146">
        <v>0.14929999999999999</v>
      </c>
      <c r="E129" s="162">
        <f>D129</f>
        <v>0.14929999999999999</v>
      </c>
      <c r="F129" s="162">
        <f>D129</f>
        <v>0.14929999999999999</v>
      </c>
      <c r="G129" s="162">
        <f>D129</f>
        <v>0.14929999999999999</v>
      </c>
      <c r="H129" s="162">
        <f>D129</f>
        <v>0.14929999999999999</v>
      </c>
      <c r="I129" s="162">
        <f>D129</f>
        <v>0.14929999999999999</v>
      </c>
      <c r="J129" s="95" t="s">
        <v>76</v>
      </c>
      <c r="K129" s="95"/>
      <c r="L129" s="8"/>
      <c r="M129" s="8"/>
      <c r="N129" s="8"/>
      <c r="O129" s="94"/>
    </row>
    <row r="130" spans="2:15" ht="26" hidden="1" x14ac:dyDescent="0.3">
      <c r="B130" s="92"/>
      <c r="C130" s="123" t="s">
        <v>80</v>
      </c>
      <c r="D130" s="124" t="e">
        <f>SUM(F53:F67)/COUNTIF(F53:F67,"&gt;0")</f>
        <v>#DIV/0!</v>
      </c>
      <c r="E130" s="124" t="str">
        <f>IF(OR($D$7="c",$D$7="h"),(E100)*PI()*($D$10/2)^2*7.48/10^6,IF($D$7="r",E100*$D$10*$D$11*7.48/10^6,IF($D$8="y",E100/10^6,"error")))</f>
        <v>error</v>
      </c>
      <c r="F130" s="124" t="str">
        <f>IF(OR($D$7="c",$D$7="h"),(F100)*PI()*($D$10/2)^2*7.48/10^6,IF($D$7="r",F100*$D$10*$D$11*7.48/10^6,IF($D$8="y",F100/10^6,"error")))</f>
        <v>error</v>
      </c>
      <c r="G130" s="124" t="str">
        <f>IF(OR($D$7="c",$D$7="h"),(G100)*PI()*($D$10/2)^2*7.48/10^6,IF($D$7="r",G100*$D$10*$D$11*7.48/10^6,IF($D$8="y",G100/10^6,"error")))</f>
        <v>error</v>
      </c>
      <c r="H130" s="124" t="str">
        <f>IF(OR($D$7="c",$D$7="h"),(H100)*PI()*($D$10/2)^2*7.48/10^6,IF($D$7="r",H100*$D$10*$D$11*7.48/10^6,IF($D$8="y",H100/10^6,"error")))</f>
        <v>error</v>
      </c>
      <c r="I130" s="124" t="str">
        <f>IF(OR($D$7="c",$D$7="h"),(I100)*PI()*($D$10/2)^2*7.48/10^6,IF($D$7="r",I100*$D$10*$D$11*7.48/10^6,IF($D$8="y",I100/10^6,"error")))</f>
        <v>error</v>
      </c>
      <c r="J130" s="95" t="s">
        <v>5</v>
      </c>
      <c r="K130" s="95"/>
      <c r="L130" s="8"/>
      <c r="M130" s="8"/>
      <c r="N130" s="8"/>
      <c r="O130" s="94"/>
    </row>
    <row r="131" spans="2:15" ht="39" hidden="1" x14ac:dyDescent="0.3">
      <c r="B131" s="92"/>
      <c r="C131" s="125" t="s">
        <v>81</v>
      </c>
      <c r="D131" s="124" t="e">
        <f>SUM(F53:F67)/COUNTIF(F53:F67,"&gt;0")+SUM(G53:G67)/COUNTIF(G53:G67,"&gt;0")</f>
        <v>#DIV/0!</v>
      </c>
      <c r="E131" s="11" t="str">
        <f>IF(OR($D$7="c",$D$7="h"),(E99)*PI()*($D$10/2)^2*7.48/10^6,IF($D$7="r",E99*$D$10*$D$11*7.48/10^6,IF($D$8="y",E99/10^6,"error")))</f>
        <v>error</v>
      </c>
      <c r="F131" s="11" t="str">
        <f>IF(OR($D$7="c",$D$7="h"),(F99)*PI()*($D$10/2)^2*7.48/10^6,IF($D$7="r",F99*$D$10*$D$11*7.48/10^6,IF($D$8="y",F99/10^6,"error")))</f>
        <v>error</v>
      </c>
      <c r="G131" s="11" t="str">
        <f>IF(OR($D$7="c",$D$7="h"),(G99)*PI()*($D$10/2)^2*7.48/10^6,IF($D$7="r",G99*$D$10*$D$11*7.48/10^6,IF($D$8="y",G99/10^6,"error")))</f>
        <v>error</v>
      </c>
      <c r="H131" s="11" t="str">
        <f>IF(OR($D$7="c",$D$7="h"),(H99)*PI()*($D$10/2)^2*7.48/10^6,IF($D$7="r",H99*$D$10*$D$11*7.48/10^6,IF($D$8="y",H99/10^6,"error")))</f>
        <v>error</v>
      </c>
      <c r="I131" s="11" t="str">
        <f>IF(OR($D$7="c",$D$7="h"),(I99)*PI()*($D$10/2)^2*7.48/10^6,IF($D$7="r",I99*$D$10*$D$11*7.48/10^6,IF($D$8="y",I99/10^6,"error")))</f>
        <v>error</v>
      </c>
      <c r="J131" s="95" t="s">
        <v>5</v>
      </c>
      <c r="K131" s="95"/>
      <c r="L131" s="8"/>
      <c r="M131" s="8"/>
      <c r="N131" s="8"/>
      <c r="O131" s="94"/>
    </row>
    <row r="132" spans="2:15" ht="13" hidden="1" x14ac:dyDescent="0.3">
      <c r="B132" s="92"/>
      <c r="C132" s="123" t="s">
        <v>83</v>
      </c>
      <c r="D132" s="124" t="e">
        <f t="shared" ref="D132:I133" si="13">D108</f>
        <v>#DIV/0!</v>
      </c>
      <c r="E132" s="124" t="e">
        <f t="shared" si="13"/>
        <v>#VALUE!</v>
      </c>
      <c r="F132" s="124" t="e">
        <f t="shared" si="13"/>
        <v>#VALUE!</v>
      </c>
      <c r="G132" s="124" t="e">
        <f t="shared" si="13"/>
        <v>#VALUE!</v>
      </c>
      <c r="H132" s="124" t="e">
        <f t="shared" si="13"/>
        <v>#VALUE!</v>
      </c>
      <c r="I132" s="124" t="e">
        <f t="shared" si="13"/>
        <v>#VALUE!</v>
      </c>
      <c r="J132" s="95" t="s">
        <v>2</v>
      </c>
      <c r="K132" s="95"/>
      <c r="L132" s="8"/>
      <c r="M132" s="8"/>
      <c r="N132" s="8"/>
      <c r="O132" s="94"/>
    </row>
    <row r="133" spans="2:15" ht="13" hidden="1" x14ac:dyDescent="0.3">
      <c r="B133" s="92"/>
      <c r="C133" s="123" t="s">
        <v>82</v>
      </c>
      <c r="D133" s="132" t="e">
        <f t="shared" si="13"/>
        <v>#DIV/0!</v>
      </c>
      <c r="E133" s="132" t="e">
        <f t="shared" si="13"/>
        <v>#VALUE!</v>
      </c>
      <c r="F133" s="132" t="e">
        <f t="shared" si="13"/>
        <v>#VALUE!</v>
      </c>
      <c r="G133" s="132" t="e">
        <f t="shared" si="13"/>
        <v>#VALUE!</v>
      </c>
      <c r="H133" s="132" t="e">
        <f t="shared" si="13"/>
        <v>#VALUE!</v>
      </c>
      <c r="I133" s="132" t="e">
        <f t="shared" si="13"/>
        <v>#VALUE!</v>
      </c>
      <c r="J133" s="95" t="s">
        <v>2</v>
      </c>
      <c r="K133" s="95"/>
      <c r="L133" s="8"/>
      <c r="M133" s="8"/>
      <c r="N133" s="8"/>
      <c r="O133" s="94"/>
    </row>
    <row r="134" spans="2:15" ht="39" hidden="1" x14ac:dyDescent="0.3">
      <c r="B134" s="92"/>
      <c r="C134" s="123" t="s">
        <v>91</v>
      </c>
      <c r="D134" s="144" t="e">
        <f t="shared" ref="D134:I134" si="14">(D130/(D131-D130))*(D133+D132)+D133+D132*(1-((D130/(D131-D130))-ROUNDDOWN((D130/(D131-D130)),0)))</f>
        <v>#DIV/0!</v>
      </c>
      <c r="E134" s="144" t="e">
        <f t="shared" si="14"/>
        <v>#VALUE!</v>
      </c>
      <c r="F134" s="144" t="e">
        <f t="shared" si="14"/>
        <v>#VALUE!</v>
      </c>
      <c r="G134" s="144" t="e">
        <f t="shared" si="14"/>
        <v>#VALUE!</v>
      </c>
      <c r="H134" s="144" t="e">
        <f t="shared" si="14"/>
        <v>#VALUE!</v>
      </c>
      <c r="I134" s="144" t="e">
        <f t="shared" si="14"/>
        <v>#VALUE!</v>
      </c>
      <c r="J134" s="95" t="s">
        <v>2</v>
      </c>
      <c r="K134" s="95"/>
      <c r="L134" s="8"/>
      <c r="M134" s="8"/>
      <c r="N134" s="8"/>
      <c r="O134" s="94"/>
    </row>
    <row r="135" spans="2:15" ht="40.5" hidden="1" customHeight="1" x14ac:dyDescent="0.3">
      <c r="B135" s="92"/>
      <c r="C135" s="161" t="s">
        <v>85</v>
      </c>
      <c r="D135" s="146">
        <v>1.57</v>
      </c>
      <c r="E135" s="163">
        <f>D135</f>
        <v>1.57</v>
      </c>
      <c r="F135" s="163">
        <f>D135</f>
        <v>1.57</v>
      </c>
      <c r="G135" s="163">
        <f>D135</f>
        <v>1.57</v>
      </c>
      <c r="H135" s="163">
        <f>D135</f>
        <v>1.57</v>
      </c>
      <c r="I135" s="163">
        <f>D135</f>
        <v>1.57</v>
      </c>
      <c r="J135" s="95" t="s">
        <v>78</v>
      </c>
      <c r="K135" s="95"/>
      <c r="L135" s="8"/>
      <c r="M135" s="8"/>
      <c r="N135" s="8"/>
      <c r="O135" s="94"/>
    </row>
    <row r="136" spans="2:15" ht="41" hidden="1" x14ac:dyDescent="0.3">
      <c r="B136" s="92"/>
      <c r="C136" s="143" t="s">
        <v>109</v>
      </c>
      <c r="D136" s="145" t="e">
        <f t="shared" ref="D136:I136" si="15">((EXP(-D129*D133)-EXP(-D129*(D132+D133)))*D135)/(D129*D132*(1+(D130/(D131-D130))*(1-EXP(-D129*(D132+D133)))))</f>
        <v>#DIV/0!</v>
      </c>
      <c r="E136" s="145" t="e">
        <f t="shared" si="15"/>
        <v>#VALUE!</v>
      </c>
      <c r="F136" s="145" t="e">
        <f t="shared" si="15"/>
        <v>#VALUE!</v>
      </c>
      <c r="G136" s="145" t="e">
        <f t="shared" si="15"/>
        <v>#VALUE!</v>
      </c>
      <c r="H136" s="145" t="e">
        <f t="shared" si="15"/>
        <v>#VALUE!</v>
      </c>
      <c r="I136" s="145" t="e">
        <f t="shared" si="15"/>
        <v>#VALUE!</v>
      </c>
      <c r="J136" s="95" t="s">
        <v>78</v>
      </c>
      <c r="K136" s="95"/>
      <c r="L136" s="8"/>
      <c r="M136" s="8"/>
      <c r="N136" s="8"/>
      <c r="O136" s="94"/>
    </row>
    <row r="137" spans="2:15" ht="41" hidden="1" x14ac:dyDescent="0.3">
      <c r="B137" s="92"/>
      <c r="C137" s="143" t="s">
        <v>108</v>
      </c>
      <c r="D137" s="145" t="e">
        <f t="shared" ref="D137:I137" si="16">D135*EXP(-D129*D134)</f>
        <v>#DIV/0!</v>
      </c>
      <c r="E137" s="145" t="e">
        <f t="shared" si="16"/>
        <v>#VALUE!</v>
      </c>
      <c r="F137" s="145" t="e">
        <f t="shared" si="16"/>
        <v>#VALUE!</v>
      </c>
      <c r="G137" s="145" t="e">
        <f t="shared" si="16"/>
        <v>#VALUE!</v>
      </c>
      <c r="H137" s="145" t="e">
        <f t="shared" si="16"/>
        <v>#VALUE!</v>
      </c>
      <c r="I137" s="145" t="e">
        <f t="shared" si="16"/>
        <v>#VALUE!</v>
      </c>
      <c r="J137" s="95" t="s">
        <v>78</v>
      </c>
      <c r="K137" s="95"/>
      <c r="L137" s="8"/>
      <c r="M137" s="8"/>
      <c r="N137" s="8"/>
      <c r="O137" s="94"/>
    </row>
    <row r="138" spans="2:15" hidden="1" x14ac:dyDescent="0.25">
      <c r="B138" s="92"/>
      <c r="C138" s="8" t="s">
        <v>110</v>
      </c>
      <c r="D138" s="8"/>
      <c r="E138" s="8"/>
      <c r="F138" s="8"/>
      <c r="G138" s="8"/>
      <c r="H138" s="8"/>
      <c r="I138" s="8"/>
      <c r="J138" s="8"/>
      <c r="K138" s="8"/>
      <c r="L138" s="8"/>
      <c r="M138" s="8"/>
      <c r="N138" s="8"/>
      <c r="O138" s="94"/>
    </row>
    <row r="139" spans="2:15" hidden="1" x14ac:dyDescent="0.25">
      <c r="B139" s="92"/>
      <c r="C139" s="424" t="s">
        <v>228</v>
      </c>
      <c r="D139" s="422"/>
      <c r="E139" s="422"/>
      <c r="F139" s="422"/>
      <c r="G139" s="422"/>
      <c r="H139" s="422"/>
      <c r="I139" s="422"/>
      <c r="J139" s="8"/>
      <c r="K139" s="8"/>
      <c r="L139" s="8"/>
      <c r="M139" s="8"/>
      <c r="N139" s="8"/>
      <c r="O139" s="94"/>
    </row>
    <row r="140" spans="2:15" hidden="1" x14ac:dyDescent="0.25">
      <c r="B140" s="92"/>
      <c r="C140" s="424" t="s">
        <v>229</v>
      </c>
      <c r="D140" s="422"/>
      <c r="E140" s="422"/>
      <c r="F140" s="422"/>
      <c r="G140" s="422"/>
      <c r="H140" s="422"/>
      <c r="I140" s="422"/>
      <c r="J140" s="8"/>
      <c r="K140" s="8"/>
      <c r="L140" s="8"/>
      <c r="M140" s="8"/>
      <c r="N140" s="8"/>
      <c r="O140" s="94"/>
    </row>
    <row r="141" spans="2:15" hidden="1" x14ac:dyDescent="0.25">
      <c r="B141" s="92"/>
      <c r="C141" s="424" t="s">
        <v>230</v>
      </c>
      <c r="D141" s="422"/>
      <c r="E141" s="422"/>
      <c r="F141" s="422"/>
      <c r="G141" s="422"/>
      <c r="H141" s="422"/>
      <c r="I141" s="422"/>
      <c r="J141" s="8"/>
      <c r="K141" s="8"/>
      <c r="L141" s="8"/>
      <c r="M141" s="8"/>
      <c r="N141" s="8"/>
      <c r="O141" s="94"/>
    </row>
    <row r="142" spans="2:15" hidden="1" x14ac:dyDescent="0.25">
      <c r="B142" s="92"/>
      <c r="C142" s="422" t="s">
        <v>231</v>
      </c>
      <c r="D142" s="422"/>
      <c r="E142" s="422"/>
      <c r="F142" s="422"/>
      <c r="G142" s="422"/>
      <c r="H142" s="422"/>
      <c r="I142" s="422"/>
      <c r="J142" s="8"/>
      <c r="K142" s="8"/>
      <c r="L142" s="8"/>
      <c r="M142" s="8"/>
      <c r="N142" s="8"/>
      <c r="O142" s="94"/>
    </row>
    <row r="143" spans="2:15" ht="26.25" hidden="1" customHeight="1" thickBot="1" x14ac:dyDescent="0.3">
      <c r="B143" s="101"/>
      <c r="C143" s="423"/>
      <c r="D143" s="423"/>
      <c r="E143" s="423"/>
      <c r="F143" s="423"/>
      <c r="G143" s="423"/>
      <c r="H143" s="423"/>
      <c r="I143" s="423"/>
      <c r="J143" s="102"/>
      <c r="K143" s="102"/>
      <c r="L143" s="102"/>
      <c r="M143" s="102"/>
      <c r="N143" s="102"/>
      <c r="O143" s="103"/>
    </row>
  </sheetData>
  <mergeCells count="4">
    <mergeCell ref="E11:F12"/>
    <mergeCell ref="H74:I74"/>
    <mergeCell ref="I77:L80"/>
    <mergeCell ref="D80:F83"/>
  </mergeCells>
  <conditionalFormatting sqref="D114:I114">
    <cfRule type="cellIs" dxfId="15" priority="7" stopIfTrue="1" operator="greaterThanOrEqual">
      <formula>1</formula>
    </cfRule>
    <cfRule type="cellIs" dxfId="14" priority="8" stopIfTrue="1" operator="lessThan">
      <formula>1</formula>
    </cfRule>
  </conditionalFormatting>
  <conditionalFormatting sqref="D115:I115">
    <cfRule type="cellIs" dxfId="13" priority="5" stopIfTrue="1" operator="greaterThan">
      <formula>5</formula>
    </cfRule>
    <cfRule type="cellIs" dxfId="12" priority="6" stopIfTrue="1" operator="lessThanOrEqual">
      <formula>5</formula>
    </cfRule>
  </conditionalFormatting>
  <conditionalFormatting sqref="E79">
    <cfRule type="cellIs" dxfId="11" priority="3" stopIfTrue="1" operator="lessThanOrEqual">
      <formula>5</formula>
    </cfRule>
    <cfRule type="cellIs" dxfId="10" priority="4" stopIfTrue="1" operator="greaterThan">
      <formula>5</formula>
    </cfRule>
  </conditionalFormatting>
  <conditionalFormatting sqref="J75">
    <cfRule type="cellIs" dxfId="9" priority="1" stopIfTrue="1" operator="greaterThanOrEqual">
      <formula>1</formula>
    </cfRule>
    <cfRule type="cellIs" dxfId="8" priority="2" stopIfTrue="1" operator="lessThan">
      <formula>1</formula>
    </cfRule>
  </conditionalFormatting>
  <pageMargins left="0.75" right="0.75" top="1" bottom="1" header="0.5" footer="0.5"/>
  <pageSetup scale="63" fitToHeight="4" orientation="landscape" r:id="rId1"/>
  <headerFooter alignWithMargins="0"/>
  <rowBreaks count="2" manualBreakCount="2">
    <brk id="48" max="16383" man="1"/>
    <brk id="84" max="16383"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C2E46-5EA5-4D3B-AF60-9AE122C5D60A}">
  <dimension ref="A1:T143"/>
  <sheetViews>
    <sheetView showGridLines="0" topLeftCell="A40" zoomScale="80" zoomScaleNormal="80" workbookViewId="0">
      <selection activeCell="I81" sqref="I81"/>
    </sheetView>
  </sheetViews>
  <sheetFormatPr defaultColWidth="9.1796875" defaultRowHeight="12.5" x14ac:dyDescent="0.25"/>
  <cols>
    <col min="1" max="2" width="1.54296875" style="1" customWidth="1"/>
    <col min="3" max="3" width="26" style="1" customWidth="1"/>
    <col min="4" max="4" width="17.81640625" style="1" customWidth="1"/>
    <col min="5" max="6" width="20.81640625" style="1" customWidth="1"/>
    <col min="7" max="7" width="17.81640625" style="1" customWidth="1"/>
    <col min="8" max="9" width="23.81640625" style="1" customWidth="1"/>
    <col min="10" max="10" width="16.453125" style="1" customWidth="1"/>
    <col min="11" max="11" width="12.81640625" style="1" customWidth="1"/>
    <col min="12" max="12" width="16.1796875" style="1" customWidth="1"/>
    <col min="13" max="13" width="9.1796875" style="1"/>
    <col min="14" max="14" width="9.81640625" style="1" customWidth="1"/>
    <col min="15" max="17" width="9.1796875" style="1"/>
    <col min="18" max="18" width="9.1796875" style="485" customWidth="1"/>
    <col min="19" max="16384" width="9.1796875" style="1"/>
  </cols>
  <sheetData>
    <row r="1" spans="2:20" ht="13" thickBot="1" x14ac:dyDescent="0.3"/>
    <row r="2" spans="2:20" ht="20.25" customHeight="1" thickBot="1" x14ac:dyDescent="0.3">
      <c r="B2" s="425" t="s">
        <v>98</v>
      </c>
      <c r="C2" s="426"/>
      <c r="D2" s="426"/>
      <c r="E2" s="426"/>
      <c r="F2" s="426"/>
      <c r="G2" s="426"/>
      <c r="H2" s="426"/>
      <c r="I2" s="426"/>
      <c r="J2" s="426"/>
      <c r="K2" s="426"/>
      <c r="L2" s="426"/>
      <c r="M2" s="426"/>
      <c r="N2" s="426"/>
      <c r="O2" s="427"/>
    </row>
    <row r="3" spans="2:20" ht="18.5" thickBot="1" x14ac:dyDescent="0.45">
      <c r="B3" s="116" t="s">
        <v>187</v>
      </c>
      <c r="C3" s="117"/>
      <c r="D3" s="118"/>
      <c r="E3" s="117"/>
      <c r="F3" s="118"/>
      <c r="G3" s="118"/>
      <c r="H3" s="118"/>
      <c r="I3" s="118"/>
      <c r="J3" s="118"/>
      <c r="K3" s="118"/>
      <c r="L3" s="118"/>
      <c r="M3" s="118"/>
      <c r="N3" s="118"/>
      <c r="O3" s="119"/>
    </row>
    <row r="4" spans="2:20" ht="16" customHeight="1" x14ac:dyDescent="0.3">
      <c r="B4" s="149"/>
      <c r="C4" s="329"/>
      <c r="D4" s="90"/>
      <c r="E4" s="90"/>
      <c r="F4" s="90"/>
      <c r="G4" s="90"/>
      <c r="H4" s="90"/>
      <c r="I4" s="90"/>
      <c r="J4" s="90"/>
      <c r="K4" s="90"/>
      <c r="L4" s="90"/>
      <c r="M4" s="90"/>
      <c r="N4" s="90"/>
      <c r="O4" s="91"/>
    </row>
    <row r="5" spans="2:20" ht="16" customHeight="1" x14ac:dyDescent="0.3">
      <c r="B5" s="92"/>
      <c r="C5" s="152" t="s">
        <v>7</v>
      </c>
      <c r="D5" s="153">
        <f>'Tank Summary'!T12</f>
        <v>0</v>
      </c>
      <c r="E5" s="93"/>
      <c r="F5" s="93"/>
      <c r="G5" s="8"/>
      <c r="H5" s="8"/>
      <c r="I5" s="8"/>
      <c r="J5" s="8"/>
      <c r="K5" s="8"/>
      <c r="L5" s="8"/>
      <c r="M5" s="8"/>
      <c r="N5" s="8"/>
      <c r="O5" s="94"/>
    </row>
    <row r="6" spans="2:20" ht="16" customHeight="1" x14ac:dyDescent="0.3">
      <c r="B6" s="92"/>
      <c r="C6" s="147" t="s">
        <v>96</v>
      </c>
      <c r="D6" s="154">
        <f>'Tank Summary'!T13</f>
        <v>0</v>
      </c>
      <c r="E6" s="93"/>
      <c r="F6" s="93"/>
      <c r="G6" s="8"/>
      <c r="H6" s="8"/>
      <c r="I6" s="8"/>
      <c r="J6" s="8"/>
      <c r="K6" s="8"/>
      <c r="L6" s="8"/>
      <c r="M6" s="8"/>
      <c r="N6" s="8"/>
      <c r="O6" s="94"/>
    </row>
    <row r="7" spans="2:20" ht="40.5" customHeight="1" x14ac:dyDescent="0.3">
      <c r="B7" s="92"/>
      <c r="C7" s="155" t="s">
        <v>64</v>
      </c>
      <c r="D7" s="88">
        <f>'Tank Summary'!T14</f>
        <v>0</v>
      </c>
      <c r="E7" s="150"/>
      <c r="F7" s="93"/>
      <c r="G7" s="151"/>
      <c r="H7" s="8"/>
      <c r="I7" s="8"/>
      <c r="J7" s="8"/>
      <c r="K7" s="8"/>
      <c r="L7" s="8"/>
      <c r="M7" s="8"/>
      <c r="N7" s="8"/>
      <c r="O7" s="94"/>
    </row>
    <row r="8" spans="2:20" ht="39.75" customHeight="1" x14ac:dyDescent="0.3">
      <c r="B8" s="92"/>
      <c r="C8" s="155" t="s">
        <v>66</v>
      </c>
      <c r="D8" s="156">
        <f>'Tank Summary'!T15</f>
        <v>0</v>
      </c>
      <c r="E8" s="150"/>
      <c r="F8" s="93"/>
      <c r="G8" s="151"/>
      <c r="H8" s="8"/>
      <c r="I8" s="8"/>
      <c r="J8" s="8"/>
      <c r="K8" s="8"/>
      <c r="L8" s="8"/>
      <c r="M8" s="8"/>
      <c r="N8" s="8"/>
      <c r="O8" s="94"/>
    </row>
    <row r="9" spans="2:20" ht="18" customHeight="1" x14ac:dyDescent="0.3">
      <c r="B9" s="92"/>
      <c r="C9" s="147" t="s">
        <v>304</v>
      </c>
      <c r="D9" s="157">
        <f>'Tank Summary'!T20</f>
        <v>0</v>
      </c>
      <c r="E9" s="93" t="str">
        <f>IF(OR(D7="c", D7="r",D7="h"),"ft","")</f>
        <v/>
      </c>
      <c r="F9" s="96"/>
      <c r="G9" s="8"/>
      <c r="H9" s="8"/>
      <c r="I9" s="8"/>
      <c r="J9" s="8"/>
      <c r="K9" s="8"/>
      <c r="L9" s="8"/>
      <c r="M9" s="8"/>
      <c r="N9" s="8"/>
      <c r="O9" s="94"/>
    </row>
    <row r="10" spans="2:20" ht="18" customHeight="1" x14ac:dyDescent="0.3">
      <c r="B10" s="92"/>
      <c r="C10" s="158" t="str">
        <f>IF(OR(D7="c", D7="h"), "Tank diameter, D:", IF(D7="r","Longest Sidewall Length, D:","Maximum diameter, D:"))</f>
        <v>Maximum diameter, D:</v>
      </c>
      <c r="D10" s="157">
        <f>'Tank Summary'!T17</f>
        <v>0</v>
      </c>
      <c r="E10" s="93" t="str">
        <f>IF(OR(D7="c", D7="r",D7="h"),"ft","")</f>
        <v/>
      </c>
      <c r="F10" s="93"/>
      <c r="G10" s="151"/>
      <c r="H10" s="8"/>
      <c r="I10" s="8"/>
      <c r="J10" s="8"/>
      <c r="K10" s="8"/>
      <c r="L10" s="8"/>
      <c r="M10" s="8"/>
      <c r="N10" s="8"/>
      <c r="O10" s="94"/>
    </row>
    <row r="11" spans="2:20" ht="18" customHeight="1" x14ac:dyDescent="0.3">
      <c r="B11" s="92"/>
      <c r="C11" s="158" t="str">
        <f>IF(OR(D7="c", D7="h"),"",IF(D7="r","Shortest Sidewall Length, L:",""))</f>
        <v/>
      </c>
      <c r="D11" s="157">
        <f>'Tank Summary'!T18</f>
        <v>0</v>
      </c>
      <c r="E11" s="501" t="str">
        <f>IF(OR(D7="c", D7="h"),"",IF(D7="r","ft",IF(D8="y","","Spreadsheet is not set up for shapes other than cylindrical, hydropillar, &amp; rectangular unless SCADA reports tank volume!")))</f>
        <v>Spreadsheet is not set up for shapes other than cylindrical, hydropillar, &amp; rectangular unless SCADA reports tank volume!</v>
      </c>
      <c r="F11" s="502"/>
      <c r="G11" s="151"/>
      <c r="H11" s="8"/>
      <c r="I11" s="8"/>
      <c r="J11" s="8"/>
      <c r="K11" s="8"/>
      <c r="L11" s="8"/>
      <c r="M11" s="8"/>
      <c r="N11" s="8"/>
      <c r="O11" s="94"/>
    </row>
    <row r="12" spans="2:20" ht="18" customHeight="1" x14ac:dyDescent="0.3">
      <c r="B12" s="92"/>
      <c r="C12" s="152" t="str">
        <f>IF(D8="y", "Volume Cutoff Ratio:", "H/D Ratio:")</f>
        <v>H/D Ratio:</v>
      </c>
      <c r="D12" s="88" t="e">
        <f>IF(D8="y", (PI()/4)*D10^3, 'Tank Summary'!T22)</f>
        <v>#DIV/0!</v>
      </c>
      <c r="E12" s="501"/>
      <c r="F12" s="502"/>
      <c r="G12" s="151"/>
      <c r="H12" s="8"/>
      <c r="I12" s="8"/>
      <c r="J12" s="8"/>
      <c r="K12" s="8"/>
      <c r="L12" s="8"/>
      <c r="M12" s="8"/>
      <c r="N12" s="8"/>
      <c r="O12" s="94"/>
    </row>
    <row r="13" spans="2:20" ht="18" customHeight="1" x14ac:dyDescent="0.3">
      <c r="B13" s="92"/>
      <c r="C13" s="152" t="s">
        <v>10</v>
      </c>
      <c r="D13" s="88">
        <f>'Tank Summary'!T19</f>
        <v>0</v>
      </c>
      <c r="E13" s="93" t="s">
        <v>1</v>
      </c>
      <c r="F13" s="93"/>
      <c r="G13" s="8"/>
      <c r="H13" s="8"/>
      <c r="I13" s="8"/>
      <c r="J13" s="8"/>
      <c r="K13" s="8"/>
      <c r="L13" s="8"/>
      <c r="M13" s="8"/>
      <c r="N13" s="8"/>
      <c r="O13" s="94"/>
    </row>
    <row r="14" spans="2:20" ht="16" customHeight="1" x14ac:dyDescent="0.25">
      <c r="B14" s="92"/>
      <c r="C14" s="29"/>
      <c r="D14" s="29"/>
      <c r="E14" s="29"/>
      <c r="F14" s="29"/>
      <c r="G14" s="29"/>
      <c r="H14" s="29"/>
      <c r="I14" s="29"/>
      <c r="J14" s="8"/>
      <c r="K14" s="8"/>
      <c r="L14" s="8"/>
      <c r="M14" s="8"/>
      <c r="N14" s="8"/>
      <c r="O14" s="94"/>
      <c r="Q14" s="481"/>
      <c r="R14" s="481"/>
      <c r="S14" s="481"/>
      <c r="T14" s="481"/>
    </row>
    <row r="15" spans="2:20" ht="16" customHeight="1" x14ac:dyDescent="0.3">
      <c r="B15" s="92"/>
      <c r="C15" s="95" t="s">
        <v>206</v>
      </c>
      <c r="D15" s="53"/>
      <c r="E15" s="53"/>
      <c r="F15" s="53"/>
      <c r="G15" s="96"/>
      <c r="H15" s="338"/>
      <c r="I15" s="53"/>
      <c r="J15" s="8"/>
      <c r="K15" s="8"/>
      <c r="L15" s="97"/>
      <c r="M15" s="8"/>
      <c r="N15" s="8"/>
      <c r="O15" s="94"/>
      <c r="Q15" s="481"/>
      <c r="R15" s="481"/>
      <c r="S15" s="481"/>
      <c r="T15" s="481"/>
    </row>
    <row r="16" spans="2:20" ht="13" x14ac:dyDescent="0.3">
      <c r="B16" s="92"/>
      <c r="C16" s="13" t="s">
        <v>19</v>
      </c>
      <c r="D16" s="13" t="s">
        <v>20</v>
      </c>
      <c r="E16" s="13" t="str">
        <f>IF(D8="y","Vol at Start of Fill","Min Level")</f>
        <v>Min Level</v>
      </c>
      <c r="F16" s="13" t="str">
        <f>IF(D8="y","Vol at End of Fill","Max Level")</f>
        <v>Max Level</v>
      </c>
      <c r="G16" s="13" t="s">
        <v>21</v>
      </c>
      <c r="H16" s="13" t="s">
        <v>22</v>
      </c>
      <c r="I16" s="8"/>
      <c r="K16" s="8"/>
      <c r="L16" s="8"/>
      <c r="M16" s="8"/>
      <c r="N16" s="8"/>
      <c r="O16" s="94"/>
      <c r="Q16" s="481"/>
      <c r="R16" s="482" t="s">
        <v>285</v>
      </c>
      <c r="S16" s="481"/>
      <c r="T16" s="481"/>
    </row>
    <row r="17" spans="2:20" ht="13" x14ac:dyDescent="0.3">
      <c r="B17" s="92"/>
      <c r="C17" s="14"/>
      <c r="D17" s="14"/>
      <c r="E17" s="14" t="str">
        <f>IF(D8="y","Gal","Ft")</f>
        <v>Ft</v>
      </c>
      <c r="F17" s="14" t="str">
        <f>IF(D8="y","Gal","Ft")</f>
        <v>Ft</v>
      </c>
      <c r="G17" s="14"/>
      <c r="H17" s="14" t="s">
        <v>23</v>
      </c>
      <c r="I17" s="8"/>
      <c r="K17" s="8"/>
      <c r="L17" s="8"/>
      <c r="M17" s="8"/>
      <c r="N17" s="8"/>
      <c r="O17" s="94"/>
      <c r="Q17" s="481"/>
      <c r="R17" s="482" t="str">
        <f>IF(D8="y","Gal","Ft")</f>
        <v>Ft</v>
      </c>
      <c r="S17" s="481"/>
      <c r="T17" s="481"/>
    </row>
    <row r="18" spans="2:20" ht="13" x14ac:dyDescent="0.3">
      <c r="B18" s="92"/>
      <c r="C18" s="339"/>
      <c r="D18" s="340"/>
      <c r="E18" s="341"/>
      <c r="F18" s="341"/>
      <c r="G18" s="89">
        <f t="shared" ref="G18:G47" si="0">C18+D18</f>
        <v>0</v>
      </c>
      <c r="H18" s="12">
        <v>0</v>
      </c>
      <c r="I18" s="8">
        <v>1</v>
      </c>
      <c r="K18" s="8"/>
      <c r="L18" s="8"/>
      <c r="M18" s="8"/>
      <c r="N18" s="8"/>
      <c r="O18" s="94"/>
      <c r="Q18" s="481"/>
      <c r="R18" s="483" t="str">
        <f t="shared" ref="R18:R47" si="1">IF(G18,E18+F18,"")</f>
        <v/>
      </c>
      <c r="S18" s="481"/>
      <c r="T18" s="481"/>
    </row>
    <row r="19" spans="2:20" ht="13" x14ac:dyDescent="0.3">
      <c r="B19" s="92"/>
      <c r="C19" s="339"/>
      <c r="D19" s="340"/>
      <c r="E19" s="341"/>
      <c r="F19" s="341"/>
      <c r="G19" s="89">
        <f t="shared" si="0"/>
        <v>0</v>
      </c>
      <c r="H19" s="12" t="str">
        <f t="shared" ref="H19:H47" si="2">IF(G19,G19-$G$18,"")</f>
        <v/>
      </c>
      <c r="I19" s="8"/>
      <c r="K19" s="8"/>
      <c r="L19" s="8"/>
      <c r="M19" s="8"/>
      <c r="N19" s="8"/>
      <c r="O19" s="94"/>
      <c r="Q19" s="481"/>
      <c r="R19" s="483" t="str">
        <f t="shared" si="1"/>
        <v/>
      </c>
      <c r="S19" s="481"/>
      <c r="T19" s="481"/>
    </row>
    <row r="20" spans="2:20" ht="13" x14ac:dyDescent="0.3">
      <c r="B20" s="92"/>
      <c r="C20" s="347"/>
      <c r="D20" s="348"/>
      <c r="E20" s="349"/>
      <c r="F20" s="349"/>
      <c r="G20" s="350">
        <f t="shared" si="0"/>
        <v>0</v>
      </c>
      <c r="H20" s="351" t="str">
        <f t="shared" si="2"/>
        <v/>
      </c>
      <c r="I20" s="8">
        <v>2</v>
      </c>
      <c r="K20" s="8"/>
      <c r="L20" s="8"/>
      <c r="M20" s="8"/>
      <c r="N20" s="8"/>
      <c r="O20" s="94"/>
      <c r="Q20" s="481"/>
      <c r="R20" s="483" t="str">
        <f t="shared" si="1"/>
        <v/>
      </c>
      <c r="S20" s="481"/>
      <c r="T20" s="481"/>
    </row>
    <row r="21" spans="2:20" ht="13" x14ac:dyDescent="0.3">
      <c r="B21" s="92"/>
      <c r="C21" s="347"/>
      <c r="D21" s="348"/>
      <c r="E21" s="349"/>
      <c r="F21" s="349"/>
      <c r="G21" s="350">
        <f t="shared" si="0"/>
        <v>0</v>
      </c>
      <c r="H21" s="351" t="str">
        <f t="shared" si="2"/>
        <v/>
      </c>
      <c r="I21" s="8"/>
      <c r="K21" s="8"/>
      <c r="L21" s="8"/>
      <c r="M21" s="8"/>
      <c r="N21" s="8"/>
      <c r="O21" s="94"/>
      <c r="Q21" s="481"/>
      <c r="R21" s="483" t="str">
        <f t="shared" si="1"/>
        <v/>
      </c>
      <c r="S21" s="481"/>
      <c r="T21" s="481"/>
    </row>
    <row r="22" spans="2:20" ht="13" x14ac:dyDescent="0.3">
      <c r="B22" s="92"/>
      <c r="C22" s="339"/>
      <c r="D22" s="340"/>
      <c r="E22" s="341"/>
      <c r="F22" s="341"/>
      <c r="G22" s="89">
        <f t="shared" si="0"/>
        <v>0</v>
      </c>
      <c r="H22" s="12" t="str">
        <f t="shared" si="2"/>
        <v/>
      </c>
      <c r="I22" s="8">
        <v>3</v>
      </c>
      <c r="K22" s="8"/>
      <c r="L22" s="8"/>
      <c r="M22" s="8"/>
      <c r="N22" s="8"/>
      <c r="O22" s="94"/>
      <c r="Q22" s="481"/>
      <c r="R22" s="483" t="str">
        <f t="shared" si="1"/>
        <v/>
      </c>
      <c r="S22" s="481"/>
      <c r="T22" s="481"/>
    </row>
    <row r="23" spans="2:20" ht="13" x14ac:dyDescent="0.3">
      <c r="B23" s="92"/>
      <c r="C23" s="339"/>
      <c r="D23" s="340"/>
      <c r="E23" s="341"/>
      <c r="F23" s="341"/>
      <c r="G23" s="89">
        <f t="shared" si="0"/>
        <v>0</v>
      </c>
      <c r="H23" s="12" t="str">
        <f t="shared" si="2"/>
        <v/>
      </c>
      <c r="I23" s="8"/>
      <c r="K23" s="8"/>
      <c r="L23" s="8"/>
      <c r="M23" s="8"/>
      <c r="N23" s="8"/>
      <c r="O23" s="94"/>
      <c r="Q23" s="481"/>
      <c r="R23" s="483" t="str">
        <f t="shared" si="1"/>
        <v/>
      </c>
      <c r="S23" s="481"/>
      <c r="T23" s="481"/>
    </row>
    <row r="24" spans="2:20" ht="13" x14ac:dyDescent="0.3">
      <c r="B24" s="92"/>
      <c r="C24" s="347"/>
      <c r="D24" s="348"/>
      <c r="E24" s="349"/>
      <c r="F24" s="349"/>
      <c r="G24" s="350">
        <f t="shared" si="0"/>
        <v>0</v>
      </c>
      <c r="H24" s="351" t="str">
        <f t="shared" si="2"/>
        <v/>
      </c>
      <c r="I24" s="8">
        <v>4</v>
      </c>
      <c r="K24" s="8"/>
      <c r="L24" s="8"/>
      <c r="M24" s="8"/>
      <c r="N24" s="8"/>
      <c r="O24" s="94"/>
      <c r="Q24" s="481"/>
      <c r="R24" s="483" t="str">
        <f t="shared" si="1"/>
        <v/>
      </c>
      <c r="S24" s="481"/>
      <c r="T24" s="481"/>
    </row>
    <row r="25" spans="2:20" ht="13" x14ac:dyDescent="0.3">
      <c r="B25" s="92"/>
      <c r="C25" s="347"/>
      <c r="D25" s="348"/>
      <c r="E25" s="349"/>
      <c r="F25" s="349"/>
      <c r="G25" s="350">
        <f t="shared" si="0"/>
        <v>0</v>
      </c>
      <c r="H25" s="351" t="str">
        <f t="shared" si="2"/>
        <v/>
      </c>
      <c r="I25" s="8"/>
      <c r="K25" s="8"/>
      <c r="L25" s="8"/>
      <c r="M25" s="8"/>
      <c r="N25" s="8"/>
      <c r="O25" s="94"/>
      <c r="Q25" s="481"/>
      <c r="R25" s="483" t="str">
        <f t="shared" si="1"/>
        <v/>
      </c>
      <c r="S25" s="481"/>
      <c r="T25" s="481"/>
    </row>
    <row r="26" spans="2:20" ht="13" x14ac:dyDescent="0.3">
      <c r="B26" s="92"/>
      <c r="C26" s="342"/>
      <c r="D26" s="340"/>
      <c r="E26" s="341"/>
      <c r="F26" s="341"/>
      <c r="G26" s="89">
        <f t="shared" si="0"/>
        <v>0</v>
      </c>
      <c r="H26" s="12" t="str">
        <f t="shared" si="2"/>
        <v/>
      </c>
      <c r="I26" s="8">
        <v>5</v>
      </c>
      <c r="K26" s="8"/>
      <c r="L26" s="8"/>
      <c r="M26" s="8"/>
      <c r="N26" s="8"/>
      <c r="O26" s="94"/>
      <c r="Q26" s="481"/>
      <c r="R26" s="483" t="str">
        <f t="shared" si="1"/>
        <v/>
      </c>
      <c r="S26" s="481"/>
      <c r="T26" s="481"/>
    </row>
    <row r="27" spans="2:20" ht="13" x14ac:dyDescent="0.3">
      <c r="B27" s="92"/>
      <c r="C27" s="342"/>
      <c r="D27" s="340"/>
      <c r="E27" s="341"/>
      <c r="F27" s="341"/>
      <c r="G27" s="89">
        <f t="shared" si="0"/>
        <v>0</v>
      </c>
      <c r="H27" s="12" t="str">
        <f t="shared" si="2"/>
        <v/>
      </c>
      <c r="I27" s="8"/>
      <c r="K27" s="8"/>
      <c r="L27" s="8"/>
      <c r="M27" s="8"/>
      <c r="N27" s="8"/>
      <c r="O27" s="94"/>
      <c r="Q27" s="481"/>
      <c r="R27" s="483" t="str">
        <f t="shared" si="1"/>
        <v/>
      </c>
      <c r="S27" s="481"/>
      <c r="T27" s="481"/>
    </row>
    <row r="28" spans="2:20" ht="13" x14ac:dyDescent="0.3">
      <c r="B28" s="92"/>
      <c r="C28" s="347"/>
      <c r="D28" s="348"/>
      <c r="E28" s="349"/>
      <c r="F28" s="349"/>
      <c r="G28" s="350">
        <f t="shared" si="0"/>
        <v>0</v>
      </c>
      <c r="H28" s="351" t="str">
        <f t="shared" si="2"/>
        <v/>
      </c>
      <c r="I28" s="8">
        <v>6</v>
      </c>
      <c r="K28" s="8"/>
      <c r="L28" s="8"/>
      <c r="M28" s="8"/>
      <c r="N28" s="8"/>
      <c r="O28" s="94"/>
      <c r="Q28" s="481"/>
      <c r="R28" s="483" t="str">
        <f t="shared" si="1"/>
        <v/>
      </c>
      <c r="S28" s="481"/>
      <c r="T28" s="481"/>
    </row>
    <row r="29" spans="2:20" ht="13" x14ac:dyDescent="0.3">
      <c r="B29" s="92"/>
      <c r="C29" s="347"/>
      <c r="D29" s="348"/>
      <c r="E29" s="349"/>
      <c r="F29" s="349"/>
      <c r="G29" s="350">
        <f t="shared" si="0"/>
        <v>0</v>
      </c>
      <c r="H29" s="351" t="str">
        <f t="shared" si="2"/>
        <v/>
      </c>
      <c r="I29" s="8"/>
      <c r="K29" s="8"/>
      <c r="L29" s="8"/>
      <c r="M29" s="8"/>
      <c r="N29" s="8"/>
      <c r="O29" s="94"/>
      <c r="Q29" s="481"/>
      <c r="R29" s="483" t="str">
        <f t="shared" si="1"/>
        <v/>
      </c>
      <c r="S29" s="481"/>
      <c r="T29" s="481"/>
    </row>
    <row r="30" spans="2:20" ht="13" x14ac:dyDescent="0.3">
      <c r="B30" s="92"/>
      <c r="C30" s="342"/>
      <c r="D30" s="340"/>
      <c r="E30" s="341"/>
      <c r="F30" s="343"/>
      <c r="G30" s="89">
        <f t="shared" si="0"/>
        <v>0</v>
      </c>
      <c r="H30" s="12" t="str">
        <f t="shared" si="2"/>
        <v/>
      </c>
      <c r="I30" s="8">
        <v>7</v>
      </c>
      <c r="K30" s="8"/>
      <c r="L30" s="8"/>
      <c r="M30" s="8"/>
      <c r="N30" s="8"/>
      <c r="O30" s="94"/>
      <c r="Q30" s="481"/>
      <c r="R30" s="483" t="str">
        <f t="shared" si="1"/>
        <v/>
      </c>
      <c r="S30" s="481"/>
      <c r="T30" s="481"/>
    </row>
    <row r="31" spans="2:20" ht="13" x14ac:dyDescent="0.3">
      <c r="B31" s="92"/>
      <c r="C31" s="342"/>
      <c r="D31" s="340"/>
      <c r="E31" s="341"/>
      <c r="F31" s="341"/>
      <c r="G31" s="89">
        <f t="shared" si="0"/>
        <v>0</v>
      </c>
      <c r="H31" s="12" t="str">
        <f t="shared" si="2"/>
        <v/>
      </c>
      <c r="I31" s="8"/>
      <c r="K31" s="8"/>
      <c r="L31" s="8"/>
      <c r="M31" s="8"/>
      <c r="N31" s="8"/>
      <c r="O31" s="94"/>
      <c r="Q31" s="481"/>
      <c r="R31" s="483" t="str">
        <f t="shared" si="1"/>
        <v/>
      </c>
      <c r="S31" s="481"/>
      <c r="T31" s="481"/>
    </row>
    <row r="32" spans="2:20" ht="13" x14ac:dyDescent="0.3">
      <c r="B32" s="92"/>
      <c r="C32" s="347"/>
      <c r="D32" s="348"/>
      <c r="E32" s="349"/>
      <c r="F32" s="349"/>
      <c r="G32" s="350">
        <f t="shared" si="0"/>
        <v>0</v>
      </c>
      <c r="H32" s="351" t="str">
        <f t="shared" si="2"/>
        <v/>
      </c>
      <c r="I32" s="8">
        <v>8</v>
      </c>
      <c r="K32" s="8"/>
      <c r="L32" s="8"/>
      <c r="M32" s="8"/>
      <c r="N32" s="8"/>
      <c r="O32" s="94"/>
      <c r="Q32" s="481"/>
      <c r="R32" s="483" t="str">
        <f t="shared" si="1"/>
        <v/>
      </c>
      <c r="S32" s="481"/>
      <c r="T32" s="481"/>
    </row>
    <row r="33" spans="2:20" ht="13" x14ac:dyDescent="0.3">
      <c r="B33" s="92"/>
      <c r="C33" s="347"/>
      <c r="D33" s="348"/>
      <c r="E33" s="349"/>
      <c r="F33" s="349"/>
      <c r="G33" s="350">
        <f t="shared" si="0"/>
        <v>0</v>
      </c>
      <c r="H33" s="351" t="str">
        <f t="shared" si="2"/>
        <v/>
      </c>
      <c r="I33" s="8"/>
      <c r="K33" s="8"/>
      <c r="L33" s="8"/>
      <c r="M33" s="8"/>
      <c r="N33" s="8"/>
      <c r="O33" s="94"/>
      <c r="Q33" s="481"/>
      <c r="R33" s="483" t="str">
        <f t="shared" si="1"/>
        <v/>
      </c>
      <c r="S33" s="481"/>
      <c r="T33" s="481"/>
    </row>
    <row r="34" spans="2:20" ht="13" x14ac:dyDescent="0.3">
      <c r="B34" s="92"/>
      <c r="C34" s="342"/>
      <c r="D34" s="340"/>
      <c r="E34" s="341"/>
      <c r="F34" s="341"/>
      <c r="G34" s="89">
        <f t="shared" si="0"/>
        <v>0</v>
      </c>
      <c r="H34" s="12" t="str">
        <f t="shared" si="2"/>
        <v/>
      </c>
      <c r="I34" s="8">
        <v>9</v>
      </c>
      <c r="K34" s="8"/>
      <c r="L34" s="8"/>
      <c r="M34" s="8"/>
      <c r="N34" s="8"/>
      <c r="O34" s="94"/>
      <c r="Q34" s="481"/>
      <c r="R34" s="483" t="str">
        <f t="shared" si="1"/>
        <v/>
      </c>
      <c r="S34" s="481"/>
      <c r="T34" s="481"/>
    </row>
    <row r="35" spans="2:20" ht="13" x14ac:dyDescent="0.3">
      <c r="B35" s="92"/>
      <c r="C35" s="342"/>
      <c r="D35" s="340"/>
      <c r="E35" s="341"/>
      <c r="F35" s="341"/>
      <c r="G35" s="89">
        <f t="shared" si="0"/>
        <v>0</v>
      </c>
      <c r="H35" s="12" t="str">
        <f t="shared" si="2"/>
        <v/>
      </c>
      <c r="I35" s="8"/>
      <c r="K35" s="8"/>
      <c r="L35" s="8"/>
      <c r="M35" s="8"/>
      <c r="N35" s="8"/>
      <c r="O35" s="94"/>
      <c r="Q35" s="481"/>
      <c r="R35" s="483" t="str">
        <f t="shared" si="1"/>
        <v/>
      </c>
      <c r="S35" s="481"/>
      <c r="T35" s="481"/>
    </row>
    <row r="36" spans="2:20" ht="13" x14ac:dyDescent="0.3">
      <c r="B36" s="92"/>
      <c r="C36" s="347"/>
      <c r="D36" s="348"/>
      <c r="E36" s="349"/>
      <c r="F36" s="349"/>
      <c r="G36" s="350">
        <f t="shared" si="0"/>
        <v>0</v>
      </c>
      <c r="H36" s="351" t="str">
        <f t="shared" si="2"/>
        <v/>
      </c>
      <c r="I36" s="8">
        <v>10</v>
      </c>
      <c r="K36" s="8"/>
      <c r="L36" s="8"/>
      <c r="M36" s="8"/>
      <c r="N36" s="8"/>
      <c r="O36" s="94"/>
      <c r="Q36" s="481"/>
      <c r="R36" s="483" t="str">
        <f t="shared" si="1"/>
        <v/>
      </c>
      <c r="S36" s="481"/>
      <c r="T36" s="481"/>
    </row>
    <row r="37" spans="2:20" ht="13" x14ac:dyDescent="0.3">
      <c r="B37" s="92"/>
      <c r="C37" s="347"/>
      <c r="D37" s="348"/>
      <c r="E37" s="349"/>
      <c r="F37" s="349"/>
      <c r="G37" s="350">
        <f t="shared" si="0"/>
        <v>0</v>
      </c>
      <c r="H37" s="351" t="str">
        <f t="shared" si="2"/>
        <v/>
      </c>
      <c r="I37" s="8"/>
      <c r="K37" s="8"/>
      <c r="L37" s="8"/>
      <c r="M37" s="8"/>
      <c r="N37" s="8"/>
      <c r="O37" s="94"/>
      <c r="Q37" s="481"/>
      <c r="R37" s="483" t="str">
        <f t="shared" si="1"/>
        <v/>
      </c>
      <c r="S37" s="481"/>
      <c r="T37" s="481"/>
    </row>
    <row r="38" spans="2:20" ht="13" x14ac:dyDescent="0.3">
      <c r="B38" s="92"/>
      <c r="C38" s="342"/>
      <c r="D38" s="340"/>
      <c r="E38" s="341"/>
      <c r="F38" s="341"/>
      <c r="G38" s="89">
        <f t="shared" si="0"/>
        <v>0</v>
      </c>
      <c r="H38" s="12" t="str">
        <f t="shared" si="2"/>
        <v/>
      </c>
      <c r="I38" s="8">
        <v>11</v>
      </c>
      <c r="K38" s="424"/>
      <c r="L38" s="8"/>
      <c r="M38" s="8"/>
      <c r="N38" s="8"/>
      <c r="O38" s="94"/>
      <c r="Q38" s="481"/>
      <c r="R38" s="483" t="str">
        <f t="shared" si="1"/>
        <v/>
      </c>
      <c r="S38" s="481"/>
      <c r="T38" s="481"/>
    </row>
    <row r="39" spans="2:20" ht="13" x14ac:dyDescent="0.3">
      <c r="B39" s="92"/>
      <c r="C39" s="342"/>
      <c r="D39" s="340"/>
      <c r="E39" s="341"/>
      <c r="F39" s="341"/>
      <c r="G39" s="89">
        <f t="shared" si="0"/>
        <v>0</v>
      </c>
      <c r="H39" s="12" t="str">
        <f t="shared" si="2"/>
        <v/>
      </c>
      <c r="I39" s="8"/>
      <c r="K39" s="486"/>
      <c r="L39" s="8"/>
      <c r="M39" s="8"/>
      <c r="N39" s="8"/>
      <c r="O39" s="94"/>
      <c r="Q39" s="481"/>
      <c r="R39" s="483" t="str">
        <f t="shared" si="1"/>
        <v/>
      </c>
      <c r="S39" s="481"/>
      <c r="T39" s="481"/>
    </row>
    <row r="40" spans="2:20" ht="13" x14ac:dyDescent="0.3">
      <c r="B40" s="92"/>
      <c r="C40" s="347"/>
      <c r="D40" s="348"/>
      <c r="E40" s="349"/>
      <c r="F40" s="349"/>
      <c r="G40" s="350">
        <f t="shared" si="0"/>
        <v>0</v>
      </c>
      <c r="H40" s="351" t="str">
        <f t="shared" si="2"/>
        <v/>
      </c>
      <c r="I40" s="8">
        <v>12</v>
      </c>
      <c r="K40" s="486"/>
      <c r="L40" s="8"/>
      <c r="M40" s="8"/>
      <c r="N40" s="8"/>
      <c r="O40" s="94"/>
      <c r="Q40" s="481"/>
      <c r="R40" s="483" t="str">
        <f t="shared" si="1"/>
        <v/>
      </c>
      <c r="S40" s="481"/>
      <c r="T40" s="481"/>
    </row>
    <row r="41" spans="2:20" ht="13" x14ac:dyDescent="0.3">
      <c r="B41" s="92"/>
      <c r="C41" s="347"/>
      <c r="D41" s="348"/>
      <c r="E41" s="349"/>
      <c r="F41" s="349"/>
      <c r="G41" s="350">
        <f t="shared" si="0"/>
        <v>0</v>
      </c>
      <c r="H41" s="351" t="str">
        <f t="shared" si="2"/>
        <v/>
      </c>
      <c r="I41" s="8"/>
      <c r="K41" s="424"/>
      <c r="L41" s="8"/>
      <c r="M41" s="8"/>
      <c r="N41" s="8"/>
      <c r="O41" s="94"/>
      <c r="Q41" s="481"/>
      <c r="R41" s="483" t="str">
        <f t="shared" si="1"/>
        <v/>
      </c>
      <c r="S41" s="481"/>
      <c r="T41" s="481"/>
    </row>
    <row r="42" spans="2:20" ht="13" x14ac:dyDescent="0.3">
      <c r="B42" s="92"/>
      <c r="C42" s="342"/>
      <c r="D42" s="340"/>
      <c r="E42" s="341"/>
      <c r="F42" s="341"/>
      <c r="G42" s="89">
        <f t="shared" si="0"/>
        <v>0</v>
      </c>
      <c r="H42" s="12" t="str">
        <f t="shared" si="2"/>
        <v/>
      </c>
      <c r="I42" s="8">
        <v>13</v>
      </c>
      <c r="K42" s="8"/>
      <c r="L42" s="8"/>
      <c r="M42" s="8"/>
      <c r="N42" s="8"/>
      <c r="O42" s="94"/>
      <c r="Q42" s="481"/>
      <c r="R42" s="483" t="str">
        <f t="shared" si="1"/>
        <v/>
      </c>
      <c r="S42" s="481"/>
      <c r="T42" s="481"/>
    </row>
    <row r="43" spans="2:20" ht="13" x14ac:dyDescent="0.3">
      <c r="B43" s="92"/>
      <c r="C43" s="342"/>
      <c r="D43" s="340"/>
      <c r="E43" s="341"/>
      <c r="F43" s="341"/>
      <c r="G43" s="89">
        <f t="shared" si="0"/>
        <v>0</v>
      </c>
      <c r="H43" s="12" t="str">
        <f t="shared" si="2"/>
        <v/>
      </c>
      <c r="I43" s="8"/>
      <c r="K43" s="8"/>
      <c r="L43" s="8"/>
      <c r="M43" s="8"/>
      <c r="N43" s="8"/>
      <c r="O43" s="94"/>
      <c r="Q43" s="481"/>
      <c r="R43" s="483" t="str">
        <f t="shared" si="1"/>
        <v/>
      </c>
      <c r="S43" s="481"/>
      <c r="T43" s="481"/>
    </row>
    <row r="44" spans="2:20" ht="13" x14ac:dyDescent="0.3">
      <c r="B44" s="92"/>
      <c r="C44" s="347"/>
      <c r="D44" s="348"/>
      <c r="E44" s="349"/>
      <c r="F44" s="349"/>
      <c r="G44" s="350">
        <f t="shared" si="0"/>
        <v>0</v>
      </c>
      <c r="H44" s="351" t="str">
        <f t="shared" si="2"/>
        <v/>
      </c>
      <c r="I44" s="8">
        <v>14</v>
      </c>
      <c r="K44" s="8"/>
      <c r="L44" s="8"/>
      <c r="M44" s="8"/>
      <c r="N44" s="8"/>
      <c r="O44" s="94"/>
      <c r="Q44" s="481"/>
      <c r="R44" s="483" t="str">
        <f t="shared" si="1"/>
        <v/>
      </c>
      <c r="S44" s="481"/>
      <c r="T44" s="481"/>
    </row>
    <row r="45" spans="2:20" ht="13" x14ac:dyDescent="0.3">
      <c r="B45" s="92"/>
      <c r="C45" s="347"/>
      <c r="D45" s="348"/>
      <c r="E45" s="349"/>
      <c r="F45" s="349"/>
      <c r="G45" s="350">
        <f t="shared" si="0"/>
        <v>0</v>
      </c>
      <c r="H45" s="351" t="str">
        <f t="shared" si="2"/>
        <v/>
      </c>
      <c r="I45" s="8"/>
      <c r="L45" s="8"/>
      <c r="M45" s="8"/>
      <c r="N45" s="8"/>
      <c r="O45" s="94"/>
      <c r="Q45" s="481"/>
      <c r="R45" s="483" t="str">
        <f t="shared" si="1"/>
        <v/>
      </c>
      <c r="S45" s="481"/>
      <c r="T45" s="481"/>
    </row>
    <row r="46" spans="2:20" ht="13" x14ac:dyDescent="0.3">
      <c r="B46" s="92"/>
      <c r="C46" s="342"/>
      <c r="D46" s="340"/>
      <c r="E46" s="341"/>
      <c r="F46" s="341"/>
      <c r="G46" s="89">
        <f t="shared" si="0"/>
        <v>0</v>
      </c>
      <c r="H46" s="12" t="str">
        <f t="shared" si="2"/>
        <v/>
      </c>
      <c r="I46" s="8">
        <v>15</v>
      </c>
      <c r="L46" s="8"/>
      <c r="M46" s="8"/>
      <c r="N46" s="8"/>
      <c r="O46" s="94"/>
      <c r="Q46" s="481"/>
      <c r="R46" s="483" t="str">
        <f t="shared" si="1"/>
        <v/>
      </c>
      <c r="S46" s="481"/>
      <c r="T46" s="481"/>
    </row>
    <row r="47" spans="2:20" ht="13" x14ac:dyDescent="0.3">
      <c r="B47" s="92"/>
      <c r="C47" s="342"/>
      <c r="D47" s="340"/>
      <c r="E47" s="341"/>
      <c r="F47" s="341"/>
      <c r="G47" s="89">
        <f t="shared" si="0"/>
        <v>0</v>
      </c>
      <c r="H47" s="12" t="str">
        <f t="shared" si="2"/>
        <v/>
      </c>
      <c r="I47" s="8"/>
      <c r="L47" s="8"/>
      <c r="M47" s="8"/>
      <c r="N47" s="8"/>
      <c r="O47" s="94"/>
      <c r="Q47" s="481"/>
      <c r="R47" s="483" t="str">
        <f t="shared" si="1"/>
        <v/>
      </c>
      <c r="S47" s="481"/>
      <c r="T47" s="481"/>
    </row>
    <row r="48" spans="2:20" ht="13" x14ac:dyDescent="0.3">
      <c r="B48" s="92"/>
      <c r="C48" s="8"/>
      <c r="D48" s="8"/>
      <c r="E48" s="430" t="str">
        <f>IF(COUNT(E16:E47)=COUNT(F16:F47),"", "Please enter complete fill periods (i.e., equal number of min and max levels)!")</f>
        <v/>
      </c>
      <c r="F48" s="428"/>
      <c r="G48" s="8"/>
      <c r="H48" s="8"/>
      <c r="I48" s="8"/>
      <c r="J48" s="8"/>
      <c r="L48" s="8"/>
      <c r="M48" s="8"/>
      <c r="N48" s="8"/>
      <c r="O48" s="94"/>
      <c r="Q48" s="481"/>
      <c r="R48" s="481"/>
      <c r="S48" s="481"/>
      <c r="T48" s="481"/>
    </row>
    <row r="49" spans="2:20" ht="27" customHeight="1" thickBot="1" x14ac:dyDescent="0.35">
      <c r="B49" s="92"/>
      <c r="C49" s="8"/>
      <c r="D49" s="8"/>
      <c r="E49" s="429"/>
      <c r="F49" s="429"/>
      <c r="G49" s="8"/>
      <c r="H49" s="8"/>
      <c r="I49" s="8"/>
      <c r="J49" s="8"/>
      <c r="L49" s="8"/>
      <c r="M49" s="8"/>
      <c r="N49" s="8"/>
      <c r="O49" s="94"/>
      <c r="Q49" s="481"/>
      <c r="R49" s="481"/>
      <c r="S49" s="481"/>
      <c r="T49" s="481"/>
    </row>
    <row r="50" spans="2:20" x14ac:dyDescent="0.25">
      <c r="B50" s="92"/>
      <c r="C50" s="17" t="s">
        <v>0</v>
      </c>
      <c r="D50" s="18" t="str">
        <f>IF(D8="y","Vol at Start of Fill","Low/Min Level")</f>
        <v>Low/Min Level</v>
      </c>
      <c r="E50" s="18" t="str">
        <f>IF(D8="y","Vol at End of Fill","High/Max Level")</f>
        <v>High/Max Level</v>
      </c>
      <c r="F50" s="18" t="s">
        <v>13</v>
      </c>
      <c r="G50" s="67" t="s">
        <v>16</v>
      </c>
      <c r="H50" s="18" t="s">
        <v>41</v>
      </c>
      <c r="I50" s="70" t="s">
        <v>6</v>
      </c>
      <c r="J50" s="433" t="s">
        <v>11</v>
      </c>
      <c r="K50" s="434"/>
      <c r="L50" s="435"/>
      <c r="M50" s="51"/>
      <c r="N50" s="52"/>
      <c r="O50" s="94"/>
      <c r="P50" s="487"/>
      <c r="Q50" s="481"/>
      <c r="R50" s="481"/>
      <c r="S50" s="481"/>
      <c r="T50" s="481"/>
    </row>
    <row r="51" spans="2:20" ht="12.75" customHeight="1" x14ac:dyDescent="0.25">
      <c r="B51" s="92"/>
      <c r="C51" s="19"/>
      <c r="D51" s="20"/>
      <c r="E51" s="20"/>
      <c r="F51" s="20" t="s">
        <v>14</v>
      </c>
      <c r="G51" s="68" t="s">
        <v>15</v>
      </c>
      <c r="H51" s="20" t="s">
        <v>42</v>
      </c>
      <c r="I51" s="71" t="s">
        <v>15</v>
      </c>
      <c r="J51" s="20" t="s">
        <v>9</v>
      </c>
      <c r="K51" s="493" t="s">
        <v>232</v>
      </c>
      <c r="L51" s="46" t="s">
        <v>12</v>
      </c>
      <c r="M51" s="20" t="s">
        <v>24</v>
      </c>
      <c r="N51" s="23" t="s">
        <v>25</v>
      </c>
      <c r="O51" s="94"/>
      <c r="P51" s="8"/>
      <c r="Q51" s="481"/>
      <c r="R51" s="481"/>
      <c r="S51" s="481"/>
      <c r="T51" s="481"/>
    </row>
    <row r="52" spans="2:20" ht="26.25" customHeight="1" thickBot="1" x14ac:dyDescent="0.3">
      <c r="B52" s="92"/>
      <c r="C52" s="21"/>
      <c r="D52" s="22" t="str">
        <f>IF(D8="y","(gal)","(ft)")</f>
        <v>(ft)</v>
      </c>
      <c r="E52" s="22" t="str">
        <f>IF(D8="y","(gal)","(ft)")</f>
        <v>(ft)</v>
      </c>
      <c r="F52" s="22" t="s">
        <v>17</v>
      </c>
      <c r="G52" s="69" t="s">
        <v>17</v>
      </c>
      <c r="H52" s="22" t="s">
        <v>17</v>
      </c>
      <c r="I52" s="72" t="s">
        <v>17</v>
      </c>
      <c r="J52" s="305" t="s">
        <v>32</v>
      </c>
      <c r="K52" s="491" t="s">
        <v>233</v>
      </c>
      <c r="L52" s="305" t="s">
        <v>32</v>
      </c>
      <c r="M52" s="22" t="s">
        <v>58</v>
      </c>
      <c r="N52" s="87" t="s">
        <v>58</v>
      </c>
      <c r="O52" s="94"/>
      <c r="Q52" s="481"/>
      <c r="R52" s="481"/>
      <c r="S52" s="481"/>
      <c r="T52" s="481"/>
    </row>
    <row r="53" spans="2:20" ht="13" thickTop="1" x14ac:dyDescent="0.25">
      <c r="B53" s="92">
        <f t="shared" ref="B53:B67" si="3">IF(D53=0,0,1)</f>
        <v>0</v>
      </c>
      <c r="C53" s="73">
        <v>1</v>
      </c>
      <c r="D53" s="74">
        <f>IF(ISBLANK(E18),E19,E18)</f>
        <v>0</v>
      </c>
      <c r="E53" s="74">
        <f>IF(ISBLANK(F18),F19,F18)</f>
        <v>0</v>
      </c>
      <c r="F53" s="86" t="str">
        <f>IF(OR($D$7="c",$D$7="h"),($D53)*PI()*($D$10/2)^2*7.48/10^6,IF($D$7="r",$D53*$D$10*$D$11*7.48/10^6,IF($D$8="y",$D53/10^6,"error")))</f>
        <v>error</v>
      </c>
      <c r="G53" s="86" t="str">
        <f>IF(OR($D$7="c",$D$7="h"),($E53-$D53)*PI()*($D$10/2)^2*7.48/10^6,IF($D$7="r",($E53-$D53)*$D$10*$D$11*7.48/10^6,IF($D$8="y",($E53-$D53)/10^6,"error")))</f>
        <v>error</v>
      </c>
      <c r="H53" s="49"/>
      <c r="I53" s="75" t="str">
        <f>IF(D53+E53=0,"n/a",IF(OR($D$7="c",$D$7="h"),((D53+E53)/2)*PI()*($D$10/2)^2*7.48/10^6,IF($D$7="r",((D53+E53)/2)*$D$10*$D$11*7.48/10^6,IF($D$8="y",((D53+E53)/2)/10^6,""))))</f>
        <v>n/a</v>
      </c>
      <c r="J53" s="49" t="e">
        <f t="shared" ref="J53:J67" si="4">IF(G53=0,"n/a",G53/F53)</f>
        <v>#VALUE!</v>
      </c>
      <c r="K53" s="492" t="str">
        <f>IF(AND('Tank Summary'!$T$16="y",'Tank Summary'!$T$15 = "n"), IF(E53&lt;=$D$10, 10.2, 3.58*(E53/$D$10)+6.66), IF(AND('Tank Summary'!$T$16="y", 'Tank Summary'!$T$15="y"),IF(E53 &lt;= (PI()/4)*$D$10^3, 10.2, 3.58*(E53/$D$12)+6.66), "Tank mixing equations do not apply"))</f>
        <v>Tank mixing equations do not apply</v>
      </c>
      <c r="L53" s="76" t="e">
        <f>IF(F53=0,"n/a",((K53/1.13)*$D$13)/((F53*10^6/7.48)^(1/3)))</f>
        <v>#VALUE!</v>
      </c>
      <c r="M53" s="49" t="str">
        <f>IF(ISERROR(H19-H18),"n/a",IF(ISBLANK(E18), "n/a",H19-H18))</f>
        <v>n/a</v>
      </c>
      <c r="N53" s="50" t="str">
        <f>IF(ISERROR(H19-H18),"n/a",IF(ISBLANK(E18), H19-H18,"n/a"))</f>
        <v>n/a</v>
      </c>
      <c r="O53" s="94"/>
      <c r="Q53" s="481"/>
      <c r="R53" s="481"/>
      <c r="S53" s="481"/>
      <c r="T53" s="481"/>
    </row>
    <row r="54" spans="2:20" x14ac:dyDescent="0.25">
      <c r="B54" s="92">
        <f t="shared" si="3"/>
        <v>0</v>
      </c>
      <c r="C54" s="77">
        <v>2</v>
      </c>
      <c r="D54" s="74">
        <f>IF(ISBLANK(E20),E21,E20)</f>
        <v>0</v>
      </c>
      <c r="E54" s="74">
        <f>IF(ISBLANK(F20),F21,F20)</f>
        <v>0</v>
      </c>
      <c r="F54" s="32" t="str">
        <f>IF(OR($D$7="c",$D$7="h"),($D54)*PI()*($D$10/2)^2*7.48/10^6,IF($D$7="r",$D54*$D$10*$D$11*7.48/10^6,IF($D$8="y",$D54/10^6,"error")))</f>
        <v>error</v>
      </c>
      <c r="G54" s="32" t="str">
        <f>IF(OR($D$7="c",$D$7="h"),($E54-$D54)*PI()*($D$10/2)^2*7.48/10^6,IF($D$7="r",($E54-$D54)*$D$10*$D$11*7.48/10^6,IF($D$8="y",($E54-$D54)/10^6,"error")))</f>
        <v>error</v>
      </c>
      <c r="H54" s="49" t="str">
        <f>IF(D54,IF(OR($D$7="c",$D$7="h"),($E53-$D54)*PI()*($D$10/2)^2*7.48/10^6,IF($D$7="r",($E53-$D54)*$D$10*$D$11*7.48/10^6,IF($D$8="y",($E53-$D54)/10^6,""))),"")</f>
        <v/>
      </c>
      <c r="I54" s="75" t="str">
        <f>IF(D54+E54=0,"n/a",IF(OR($D$7="c",$D$7="h"),((D54+E54)/2)*PI()*($D$10/2)^2*7.48/10^6,IF($D$7="r",((D54+E54)/2)*$D$10*$D$11*7.48/10^6,IF($D$8="y",((D54+E54)/2)/10^6,""))))</f>
        <v>n/a</v>
      </c>
      <c r="J54" s="11" t="e">
        <f t="shared" si="4"/>
        <v>#VALUE!</v>
      </c>
      <c r="K54" s="492" t="str">
        <f>IF(AND('Tank Summary'!$T$16="y",'Tank Summary'!$T$15 = "n"), IF(E54&lt;=$D$10, 10.2, 3.58*(E54/$D$10)+6.66), IF(AND('Tank Summary'!$T$16="y", 'Tank Summary'!$T$15="y"),IF(E54 &lt;= (PI()/4)*$D$10^3, 10.2, 3.58*(E54/$D$12)+6.66), "Tank mixing equations do not apply"))</f>
        <v>Tank mixing equations do not apply</v>
      </c>
      <c r="L54" s="76" t="e">
        <f t="shared" ref="L54:L67" si="5">IF(F54=0,"n/a",((K54/1.13)*$D$13)/((F54*10^6/7.48)^(1/3)))</f>
        <v>#VALUE!</v>
      </c>
      <c r="M54" s="11" t="str">
        <f>IF(ISERROR(H21-H20),"n/a",IF(ISBLANK(E20), H20-H19,H21-H20))</f>
        <v>n/a</v>
      </c>
      <c r="N54" s="47" t="str">
        <f>IF(ISERROR(H21-H20),"n/a",IF(ISBLANK(E20), H21-H20,H20-H19))</f>
        <v>n/a</v>
      </c>
      <c r="O54" s="94"/>
      <c r="Q54" s="481"/>
      <c r="R54" s="481"/>
      <c r="S54" s="481"/>
      <c r="T54" s="481"/>
    </row>
    <row r="55" spans="2:20" x14ac:dyDescent="0.25">
      <c r="B55" s="92">
        <f t="shared" si="3"/>
        <v>0</v>
      </c>
      <c r="C55" s="77">
        <v>3</v>
      </c>
      <c r="D55" s="74">
        <f>IF(ISBLANK(E22),E23,E22)</f>
        <v>0</v>
      </c>
      <c r="E55" s="74">
        <f>IF(ISBLANK(F22),F23,F22)</f>
        <v>0</v>
      </c>
      <c r="F55" s="32" t="str">
        <f t="shared" ref="F55:F67" si="6">IF(OR($D$7="c",$D$7="h"),($D55)*PI()*($D$10/2)^2*7.48/10^6,IF($D$7="r",$D55*$D$10*$D$11*7.48/10^6,IF($D$8="y",$D55/10^6,"error")))</f>
        <v>error</v>
      </c>
      <c r="G55" s="32" t="str">
        <f t="shared" ref="G55:G67" si="7">IF(OR($D$7="c",$D$7="h"),($E55-$D55)*PI()*($D$10/2)^2*7.48/10^6,IF($D$7="r",($E55-$D55)*$D$10*$D$11*7.48/10^6,IF($D$8="y",($E55-$D55)/10^6,"error")))</f>
        <v>error</v>
      </c>
      <c r="H55" s="49" t="str">
        <f t="shared" ref="H55:H67" si="8">IF(D55,IF(OR($D$7="c",$D$7="h"),($E54-$D55)*PI()*($D$10/2)^2*7.48/10^6,IF($D$7="r",($E54-$D55)*$D$10*$D$11*7.48/10^6,IF($D$8="y",($E54-$D55)/10^6,""))),"")</f>
        <v/>
      </c>
      <c r="I55" s="75" t="str">
        <f t="shared" ref="I55:I67" si="9">IF(D55+E55=0,"n/a",IF(OR($D$7="c",$D$7="h"),((D55+E55)/2)*PI()*($D$10/2)^2*7.48/10^6,IF($D$7="r",((D55+E55)/2)*$D$10*$D$11*7.48/10^6,IF($D$8="y",((D55+E55)/2)/10^6,""))))</f>
        <v>n/a</v>
      </c>
      <c r="J55" s="11" t="e">
        <f t="shared" si="4"/>
        <v>#VALUE!</v>
      </c>
      <c r="K55" s="492" t="str">
        <f>IF(AND('Tank Summary'!$T$16="y",'Tank Summary'!$T$15 = "n"), IF(E55&lt;=$D$10, 10.2, 3.58*(E55/$D$10)+6.66), IF(AND('Tank Summary'!$T$16="y", 'Tank Summary'!$T$15="y"),IF(E55 &lt;= (PI()/4)*$D$10^3, 10.2, 3.58*(E55/$D$12)+6.66), "Tank mixing equations do not apply"))</f>
        <v>Tank mixing equations do not apply</v>
      </c>
      <c r="L55" s="76" t="e">
        <f t="shared" si="5"/>
        <v>#VALUE!</v>
      </c>
      <c r="M55" s="11" t="str">
        <f>IF(ISERROR(H23-H22),"n/a",IF(ISBLANK(E22), H22-H21,H23-H22))</f>
        <v>n/a</v>
      </c>
      <c r="N55" s="47" t="str">
        <f>IF(ISERROR(H23-H22),"n/a",IF(ISBLANK(E22), H23-H22,H22-H21))</f>
        <v>n/a</v>
      </c>
      <c r="O55" s="94"/>
      <c r="Q55" s="481"/>
      <c r="R55" s="481"/>
      <c r="S55" s="481"/>
      <c r="T55" s="481"/>
    </row>
    <row r="56" spans="2:20" x14ac:dyDescent="0.25">
      <c r="B56" s="92">
        <f t="shared" si="3"/>
        <v>0</v>
      </c>
      <c r="C56" s="77">
        <v>4</v>
      </c>
      <c r="D56" s="74">
        <f>IF(ISBLANK(E24),E25,E24)</f>
        <v>0</v>
      </c>
      <c r="E56" s="74">
        <f>IF(ISBLANK(F24),F25,F24)</f>
        <v>0</v>
      </c>
      <c r="F56" s="32" t="str">
        <f t="shared" si="6"/>
        <v>error</v>
      </c>
      <c r="G56" s="32" t="str">
        <f t="shared" si="7"/>
        <v>error</v>
      </c>
      <c r="H56" s="49" t="str">
        <f t="shared" si="8"/>
        <v/>
      </c>
      <c r="I56" s="75" t="str">
        <f t="shared" si="9"/>
        <v>n/a</v>
      </c>
      <c r="J56" s="11" t="e">
        <f t="shared" si="4"/>
        <v>#VALUE!</v>
      </c>
      <c r="K56" s="492" t="str">
        <f>IF(AND('Tank Summary'!$T$16="y",'Tank Summary'!$T$15 = "n"), IF(E56&lt;=$D$10, 10.2, 3.58*(E56/$D$10)+6.66), IF(AND('Tank Summary'!$T$16="y", 'Tank Summary'!$T$15="y"),IF(E56 &lt;= (PI()/4)*$D$10^3, 10.2, 3.58*(E56/$D$12)+6.66), "Tank mixing equations do not apply"))</f>
        <v>Tank mixing equations do not apply</v>
      </c>
      <c r="L56" s="76" t="e">
        <f t="shared" si="5"/>
        <v>#VALUE!</v>
      </c>
      <c r="M56" s="11" t="str">
        <f>IF(ISERROR(H25-H24),"n/a",IF(ISBLANK(E24), H24-H23,H25-H24))</f>
        <v>n/a</v>
      </c>
      <c r="N56" s="47" t="str">
        <f>IF(ISERROR(H25-H24),"n/a",IF(ISBLANK(E24), H25-H24,H24-H23))</f>
        <v>n/a</v>
      </c>
      <c r="O56" s="94"/>
      <c r="Q56" s="481"/>
      <c r="R56" s="481"/>
      <c r="S56" s="481"/>
      <c r="T56" s="481"/>
    </row>
    <row r="57" spans="2:20" x14ac:dyDescent="0.25">
      <c r="B57" s="92">
        <f t="shared" si="3"/>
        <v>0</v>
      </c>
      <c r="C57" s="77">
        <v>5</v>
      </c>
      <c r="D57" s="74">
        <f>IF(ISBLANK(E26),E27,E26)</f>
        <v>0</v>
      </c>
      <c r="E57" s="74">
        <f>IF(ISBLANK(F26),F27,F26)</f>
        <v>0</v>
      </c>
      <c r="F57" s="32" t="str">
        <f t="shared" si="6"/>
        <v>error</v>
      </c>
      <c r="G57" s="32" t="str">
        <f t="shared" si="7"/>
        <v>error</v>
      </c>
      <c r="H57" s="49" t="str">
        <f t="shared" si="8"/>
        <v/>
      </c>
      <c r="I57" s="75" t="str">
        <f t="shared" si="9"/>
        <v>n/a</v>
      </c>
      <c r="J57" s="11" t="e">
        <f t="shared" si="4"/>
        <v>#VALUE!</v>
      </c>
      <c r="K57" s="492" t="str">
        <f>IF(AND('Tank Summary'!$T$16="y",'Tank Summary'!$T$15 = "n"), IF(E57&lt;=$D$10, 10.2, 3.58*(E57/$D$10)+6.66), IF(AND('Tank Summary'!$T$16="y", 'Tank Summary'!$T$15="y"),IF(E57 &lt;= (PI()/4)*$D$10^3, 10.2, 3.58*(E57/$D$12)+6.66), "Tank mixing equations do not apply"))</f>
        <v>Tank mixing equations do not apply</v>
      </c>
      <c r="L57" s="76" t="e">
        <f t="shared" si="5"/>
        <v>#VALUE!</v>
      </c>
      <c r="M57" s="11" t="str">
        <f>IF(ISERROR(H27-H26),"n/a",IF(ISBLANK(E26), H26-H25,H27-H26))</f>
        <v>n/a</v>
      </c>
      <c r="N57" s="47" t="str">
        <f>IF(ISERROR(H27-H26),"n/a",IF(ISBLANK(E26), H27-H26,H26-H25))</f>
        <v>n/a</v>
      </c>
      <c r="O57" s="94"/>
      <c r="Q57" s="481"/>
      <c r="R57" s="481"/>
      <c r="S57" s="481"/>
      <c r="T57" s="481"/>
    </row>
    <row r="58" spans="2:20" x14ac:dyDescent="0.25">
      <c r="B58" s="92">
        <f t="shared" si="3"/>
        <v>0</v>
      </c>
      <c r="C58" s="77">
        <v>6</v>
      </c>
      <c r="D58" s="74">
        <f>IF(ISBLANK(E28),E29,E28)</f>
        <v>0</v>
      </c>
      <c r="E58" s="74">
        <f>IF(ISBLANK(F28),F29,F28)</f>
        <v>0</v>
      </c>
      <c r="F58" s="32" t="str">
        <f t="shared" si="6"/>
        <v>error</v>
      </c>
      <c r="G58" s="32" t="str">
        <f t="shared" si="7"/>
        <v>error</v>
      </c>
      <c r="H58" s="49" t="str">
        <f t="shared" si="8"/>
        <v/>
      </c>
      <c r="I58" s="75" t="str">
        <f t="shared" si="9"/>
        <v>n/a</v>
      </c>
      <c r="J58" s="11" t="e">
        <f t="shared" si="4"/>
        <v>#VALUE!</v>
      </c>
      <c r="K58" s="492" t="str">
        <f>IF(AND('Tank Summary'!$T$16="y",'Tank Summary'!$T$15 = "n"), IF(E58&lt;=$D$10, 10.2, 3.58*(E58/$D$10)+6.66), IF(AND('Tank Summary'!$T$16="y", 'Tank Summary'!$T$15="y"),IF(E58 &lt;= (PI()/4)*$D$10^3, 10.2, 3.58*(E58/$D$12)+6.66), "Tank mixing equations do not apply"))</f>
        <v>Tank mixing equations do not apply</v>
      </c>
      <c r="L58" s="76" t="e">
        <f t="shared" si="5"/>
        <v>#VALUE!</v>
      </c>
      <c r="M58" s="11" t="str">
        <f>IF(ISERROR(H29-H28),"n/a",IF(ISBLANK(E28), H28-H27,H29-H28))</f>
        <v>n/a</v>
      </c>
      <c r="N58" s="47" t="str">
        <f>IF(ISERROR(H29-H28),"n/a",IF(ISBLANK(E28), H29-H28,H28-H27))</f>
        <v>n/a</v>
      </c>
      <c r="O58" s="94"/>
      <c r="Q58" s="481"/>
      <c r="R58" s="481"/>
      <c r="S58" s="481"/>
      <c r="T58" s="481"/>
    </row>
    <row r="59" spans="2:20" x14ac:dyDescent="0.25">
      <c r="B59" s="92">
        <f t="shared" si="3"/>
        <v>0</v>
      </c>
      <c r="C59" s="77">
        <v>7</v>
      </c>
      <c r="D59" s="74">
        <f>IF(ISBLANK(E30),E31,E30)</f>
        <v>0</v>
      </c>
      <c r="E59" s="74">
        <f>IF(ISBLANK(F30),F31,F30)</f>
        <v>0</v>
      </c>
      <c r="F59" s="32" t="str">
        <f t="shared" si="6"/>
        <v>error</v>
      </c>
      <c r="G59" s="32" t="str">
        <f t="shared" si="7"/>
        <v>error</v>
      </c>
      <c r="H59" s="49" t="str">
        <f t="shared" si="8"/>
        <v/>
      </c>
      <c r="I59" s="75" t="str">
        <f t="shared" si="9"/>
        <v>n/a</v>
      </c>
      <c r="J59" s="11" t="e">
        <f t="shared" si="4"/>
        <v>#VALUE!</v>
      </c>
      <c r="K59" s="492" t="str">
        <f>IF(AND('Tank Summary'!$T$16="y",'Tank Summary'!$T$15 = "n"), IF(E59&lt;=$D$10, 10.2, 3.58*(E59/$D$10)+6.66), IF(AND('Tank Summary'!$T$16="y", 'Tank Summary'!$T$15="y"),IF(E59 &lt;= (PI()/4)*$D$10^3, 10.2, 3.58*(E59/$D$12)+6.66), "Tank mixing equations do not apply"))</f>
        <v>Tank mixing equations do not apply</v>
      </c>
      <c r="L59" s="76" t="e">
        <f t="shared" si="5"/>
        <v>#VALUE!</v>
      </c>
      <c r="M59" s="11" t="str">
        <f>IF(ISERROR(H31-H30),"n/a",IF(ISBLANK(E30), H30-H29,H31-H30))</f>
        <v>n/a</v>
      </c>
      <c r="N59" s="47" t="str">
        <f>IF(ISERROR(H31-H30),"n/a",IF(ISBLANK(E30), H31-H30,H30-H29))</f>
        <v>n/a</v>
      </c>
      <c r="O59" s="94"/>
      <c r="Q59" s="481"/>
      <c r="R59" s="481"/>
      <c r="S59" s="481"/>
      <c r="T59" s="481"/>
    </row>
    <row r="60" spans="2:20" x14ac:dyDescent="0.25">
      <c r="B60" s="92">
        <f t="shared" si="3"/>
        <v>0</v>
      </c>
      <c r="C60" s="77">
        <v>8</v>
      </c>
      <c r="D60" s="74">
        <f>IF(ISBLANK(E32),E33,E32)</f>
        <v>0</v>
      </c>
      <c r="E60" s="74">
        <f>IF(ISBLANK(F32),F33,F32)</f>
        <v>0</v>
      </c>
      <c r="F60" s="32" t="str">
        <f t="shared" si="6"/>
        <v>error</v>
      </c>
      <c r="G60" s="32" t="str">
        <f t="shared" si="7"/>
        <v>error</v>
      </c>
      <c r="H60" s="49" t="str">
        <f t="shared" si="8"/>
        <v/>
      </c>
      <c r="I60" s="75" t="str">
        <f t="shared" si="9"/>
        <v>n/a</v>
      </c>
      <c r="J60" s="11" t="e">
        <f t="shared" si="4"/>
        <v>#VALUE!</v>
      </c>
      <c r="K60" s="492" t="str">
        <f>IF(AND('Tank Summary'!$T$16="y",'Tank Summary'!$T$15 = "n"), IF(E60&lt;=$D$10, 10.2, 3.58*(E60/$D$10)+6.66), IF(AND('Tank Summary'!$T$16="y", 'Tank Summary'!$T$15="y"),IF(E60 &lt;= (PI()/4)*$D$10^3, 10.2, 3.58*(E60/$D$12)+6.66), "Tank mixing equations do not apply"))</f>
        <v>Tank mixing equations do not apply</v>
      </c>
      <c r="L60" s="76" t="e">
        <f t="shared" si="5"/>
        <v>#VALUE!</v>
      </c>
      <c r="M60" s="11" t="str">
        <f>IF(ISERROR(H33-H32),"n/a",IF(ISBLANK(E32), H32-H31,H33-H32))</f>
        <v>n/a</v>
      </c>
      <c r="N60" s="47" t="str">
        <f>IF(ISERROR(H33-H32),"n/a",IF(ISBLANK(E32), H33-H32,H32-H31))</f>
        <v>n/a</v>
      </c>
      <c r="O60" s="94"/>
      <c r="Q60" s="481"/>
      <c r="R60" s="481"/>
      <c r="S60" s="481"/>
      <c r="T60" s="481"/>
    </row>
    <row r="61" spans="2:20" x14ac:dyDescent="0.25">
      <c r="B61" s="92">
        <f t="shared" si="3"/>
        <v>0</v>
      </c>
      <c r="C61" s="77">
        <v>9</v>
      </c>
      <c r="D61" s="74">
        <f>IF(ISBLANK(E34),E35,E34)</f>
        <v>0</v>
      </c>
      <c r="E61" s="74">
        <f>IF(ISBLANK(F34),F35,F34)</f>
        <v>0</v>
      </c>
      <c r="F61" s="32" t="str">
        <f t="shared" si="6"/>
        <v>error</v>
      </c>
      <c r="G61" s="32" t="str">
        <f t="shared" si="7"/>
        <v>error</v>
      </c>
      <c r="H61" s="49" t="str">
        <f t="shared" si="8"/>
        <v/>
      </c>
      <c r="I61" s="75" t="str">
        <f t="shared" si="9"/>
        <v>n/a</v>
      </c>
      <c r="J61" s="11" t="e">
        <f t="shared" si="4"/>
        <v>#VALUE!</v>
      </c>
      <c r="K61" s="492" t="str">
        <f>IF(AND('Tank Summary'!$T$16="y",'Tank Summary'!$T$15 = "n"), IF(E61&lt;=$D$10, 10.2, 3.58*(E61/$D$10)+6.66), IF(AND('Tank Summary'!$T$16="y", 'Tank Summary'!$T$15="y"),IF(E61 &lt;= (PI()/4)*$D$10^3, 10.2, 3.58*(E61/$D$12)+6.66), "Tank mixing equations do not apply"))</f>
        <v>Tank mixing equations do not apply</v>
      </c>
      <c r="L61" s="76" t="e">
        <f t="shared" si="5"/>
        <v>#VALUE!</v>
      </c>
      <c r="M61" s="11" t="str">
        <f>IF(ISERROR(H35-H34),"n/a",IF(ISBLANK(E34), H34-H33,H35-H34))</f>
        <v>n/a</v>
      </c>
      <c r="N61" s="47" t="str">
        <f>IF(ISERROR(H35-H34),"n/a",IF(ISBLANK(E34), H35-H34,H34-H33))</f>
        <v>n/a</v>
      </c>
      <c r="O61" s="94"/>
      <c r="Q61" s="481"/>
      <c r="R61" s="481"/>
      <c r="S61" s="481"/>
      <c r="T61" s="481"/>
    </row>
    <row r="62" spans="2:20" x14ac:dyDescent="0.25">
      <c r="B62" s="92">
        <f t="shared" si="3"/>
        <v>0</v>
      </c>
      <c r="C62" s="77">
        <v>10</v>
      </c>
      <c r="D62" s="74">
        <f>IF(ISBLANK(E36),E37,E36)</f>
        <v>0</v>
      </c>
      <c r="E62" s="74">
        <f>IF(ISBLANK(F36),F37,F36)</f>
        <v>0</v>
      </c>
      <c r="F62" s="32" t="str">
        <f t="shared" si="6"/>
        <v>error</v>
      </c>
      <c r="G62" s="32" t="str">
        <f t="shared" si="7"/>
        <v>error</v>
      </c>
      <c r="H62" s="49" t="str">
        <f t="shared" si="8"/>
        <v/>
      </c>
      <c r="I62" s="75" t="str">
        <f t="shared" si="9"/>
        <v>n/a</v>
      </c>
      <c r="J62" s="11" t="e">
        <f t="shared" si="4"/>
        <v>#VALUE!</v>
      </c>
      <c r="K62" s="492" t="str">
        <f>IF(AND('Tank Summary'!$T$16="y",'Tank Summary'!$T$15 = "n"), IF(E62&lt;=$D$10, 10.2, 3.58*(E62/$D$10)+6.66), IF(AND('Tank Summary'!$T$16="y", 'Tank Summary'!$T$15="y"),IF(E62 &lt;= (PI()/4)*$D$10^3, 10.2, 3.58*(E62/$D$12)+6.66), "Tank mixing equations do not apply"))</f>
        <v>Tank mixing equations do not apply</v>
      </c>
      <c r="L62" s="76" t="e">
        <f t="shared" si="5"/>
        <v>#VALUE!</v>
      </c>
      <c r="M62" s="11" t="str">
        <f>IF(ISERROR(H37-H36),"n/a",IF(ISBLANK(E36), H36-H35,H37-H36))</f>
        <v>n/a</v>
      </c>
      <c r="N62" s="47" t="str">
        <f>IF(ISERROR(H37-H36),"n/a",IF(ISBLANK(E36), H37-H36,H36-H35))</f>
        <v>n/a</v>
      </c>
      <c r="O62" s="94"/>
      <c r="Q62" s="481"/>
      <c r="R62" s="481"/>
      <c r="S62" s="481"/>
      <c r="T62" s="481"/>
    </row>
    <row r="63" spans="2:20" x14ac:dyDescent="0.25">
      <c r="B63" s="92">
        <f t="shared" si="3"/>
        <v>0</v>
      </c>
      <c r="C63" s="77">
        <v>11</v>
      </c>
      <c r="D63" s="74">
        <f>IF(ISBLANK(E38),E39,E38)</f>
        <v>0</v>
      </c>
      <c r="E63" s="74">
        <f>IF(ISBLANK(F38),F39,F38)</f>
        <v>0</v>
      </c>
      <c r="F63" s="32" t="str">
        <f t="shared" si="6"/>
        <v>error</v>
      </c>
      <c r="G63" s="32" t="str">
        <f t="shared" si="7"/>
        <v>error</v>
      </c>
      <c r="H63" s="49" t="str">
        <f t="shared" si="8"/>
        <v/>
      </c>
      <c r="I63" s="75" t="str">
        <f t="shared" si="9"/>
        <v>n/a</v>
      </c>
      <c r="J63" s="11" t="e">
        <f t="shared" si="4"/>
        <v>#VALUE!</v>
      </c>
      <c r="K63" s="492" t="str">
        <f>IF(AND('Tank Summary'!$T$16="y",'Tank Summary'!$T$15 = "n"), IF(E63&lt;=$D$10, 10.2, 3.58*(E63/$D$10)+6.66), IF(AND('Tank Summary'!$T$16="y", 'Tank Summary'!$T$15="y"),IF(E63 &lt;= (PI()/4)*$D$10^3, 10.2, 3.58*(E63/$D$12)+6.66), "Tank mixing equations do not apply"))</f>
        <v>Tank mixing equations do not apply</v>
      </c>
      <c r="L63" s="76" t="e">
        <f t="shared" si="5"/>
        <v>#VALUE!</v>
      </c>
      <c r="M63" s="11" t="str">
        <f>IF(ISERROR(H39-H38),"n/a",IF(ISBLANK(E38), H38-H37,H39-H38))</f>
        <v>n/a</v>
      </c>
      <c r="N63" s="47" t="str">
        <f>IF(ISERROR(H39-H38),"n/a",IF(ISBLANK(E38), H39-H38,H38-H37))</f>
        <v>n/a</v>
      </c>
      <c r="O63" s="94"/>
      <c r="Q63" s="481"/>
      <c r="R63" s="481"/>
      <c r="S63" s="481"/>
      <c r="T63" s="481"/>
    </row>
    <row r="64" spans="2:20" x14ac:dyDescent="0.25">
      <c r="B64" s="92">
        <f t="shared" si="3"/>
        <v>0</v>
      </c>
      <c r="C64" s="77">
        <v>12</v>
      </c>
      <c r="D64" s="74">
        <f>IF(ISBLANK(E40),E41,E40)</f>
        <v>0</v>
      </c>
      <c r="E64" s="74">
        <f>IF(ISBLANK(F40),F41,F40)</f>
        <v>0</v>
      </c>
      <c r="F64" s="32" t="str">
        <f t="shared" si="6"/>
        <v>error</v>
      </c>
      <c r="G64" s="32" t="str">
        <f t="shared" si="7"/>
        <v>error</v>
      </c>
      <c r="H64" s="49" t="str">
        <f t="shared" si="8"/>
        <v/>
      </c>
      <c r="I64" s="75" t="str">
        <f t="shared" si="9"/>
        <v>n/a</v>
      </c>
      <c r="J64" s="11" t="e">
        <f t="shared" si="4"/>
        <v>#VALUE!</v>
      </c>
      <c r="K64" s="492" t="str">
        <f>IF(AND('Tank Summary'!$T$16="y",'Tank Summary'!$T$15 = "n"), IF(E64&lt;=$D$10, 10.2, 3.58*(E64/$D$10)+6.66), IF(AND('Tank Summary'!$T$16="y", 'Tank Summary'!$T$15="y"),IF(E64 &lt;= (PI()/4)*$D$10^3, 10.2, 3.58*(E64/$D$12)+6.66), "Tank mixing equations do not apply"))</f>
        <v>Tank mixing equations do not apply</v>
      </c>
      <c r="L64" s="76" t="e">
        <f t="shared" si="5"/>
        <v>#VALUE!</v>
      </c>
      <c r="M64" s="11" t="str">
        <f>IF(ISERROR(H41-H40),"n/a",IF(ISBLANK(E40), H40-H39,H41-H40))</f>
        <v>n/a</v>
      </c>
      <c r="N64" s="47" t="str">
        <f>IF(ISERROR(H41-H40),"n/a",IF(ISBLANK(E40), H41-H40,H40-H39))</f>
        <v>n/a</v>
      </c>
      <c r="O64" s="94"/>
      <c r="Q64" s="481"/>
      <c r="R64" s="481"/>
      <c r="S64" s="481"/>
      <c r="T64" s="481"/>
    </row>
    <row r="65" spans="1:20" x14ac:dyDescent="0.25">
      <c r="B65" s="92">
        <f t="shared" si="3"/>
        <v>0</v>
      </c>
      <c r="C65" s="77">
        <v>13</v>
      </c>
      <c r="D65" s="74">
        <f>IF(ISBLANK(E42),E43,E42)</f>
        <v>0</v>
      </c>
      <c r="E65" s="74">
        <f>IF(ISBLANK(F42),F43,F42)</f>
        <v>0</v>
      </c>
      <c r="F65" s="32" t="str">
        <f t="shared" si="6"/>
        <v>error</v>
      </c>
      <c r="G65" s="32" t="str">
        <f t="shared" si="7"/>
        <v>error</v>
      </c>
      <c r="H65" s="49" t="str">
        <f t="shared" si="8"/>
        <v/>
      </c>
      <c r="I65" s="75" t="str">
        <f t="shared" si="9"/>
        <v>n/a</v>
      </c>
      <c r="J65" s="11" t="e">
        <f t="shared" si="4"/>
        <v>#VALUE!</v>
      </c>
      <c r="K65" s="492" t="str">
        <f>IF(AND('Tank Summary'!$T$16="y",'Tank Summary'!$T$15 = "n"), IF(E65&lt;=$D$10, 10.2, 3.58*(E65/$D$10)+6.66), IF(AND('Tank Summary'!$T$16="y", 'Tank Summary'!$T$15="y"),IF(E65 &lt;= (PI()/4)*$D$10^3, 10.2, 3.58*(E65/$D$12)+6.66), "Tank mixing equations do not apply"))</f>
        <v>Tank mixing equations do not apply</v>
      </c>
      <c r="L65" s="76" t="e">
        <f t="shared" si="5"/>
        <v>#VALUE!</v>
      </c>
      <c r="M65" s="11" t="str">
        <f>IF(ISERROR(H43-H42),"n/a",IF(ISBLANK(E42), H42-H41,H43-H42))</f>
        <v>n/a</v>
      </c>
      <c r="N65" s="47" t="str">
        <f>IF(ISERROR(H43-H42),"n/a",IF(ISBLANK(E42), H43-H42,H42-H41))</f>
        <v>n/a</v>
      </c>
      <c r="O65" s="94"/>
      <c r="Q65" s="481"/>
      <c r="R65" s="481"/>
      <c r="S65" s="481"/>
      <c r="T65" s="481"/>
    </row>
    <row r="66" spans="1:20" x14ac:dyDescent="0.25">
      <c r="B66" s="92">
        <f t="shared" si="3"/>
        <v>0</v>
      </c>
      <c r="C66" s="77">
        <v>14</v>
      </c>
      <c r="D66" s="74">
        <f>IF(ISBLANK(E44),E45,E44)</f>
        <v>0</v>
      </c>
      <c r="E66" s="74">
        <f>IF(ISBLANK(F44),F45,F44)</f>
        <v>0</v>
      </c>
      <c r="F66" s="32" t="str">
        <f t="shared" si="6"/>
        <v>error</v>
      </c>
      <c r="G66" s="32" t="str">
        <f t="shared" si="7"/>
        <v>error</v>
      </c>
      <c r="H66" s="49" t="str">
        <f t="shared" si="8"/>
        <v/>
      </c>
      <c r="I66" s="75" t="str">
        <f t="shared" si="9"/>
        <v>n/a</v>
      </c>
      <c r="J66" s="11" t="e">
        <f t="shared" si="4"/>
        <v>#VALUE!</v>
      </c>
      <c r="K66" s="492" t="str">
        <f>IF(AND('Tank Summary'!$T$16="y",'Tank Summary'!$T$15 = "n"), IF(E66&lt;=$D$10, 10.2, 3.58*(E66/$D$10)+6.66), IF(AND('Tank Summary'!$T$16="y", 'Tank Summary'!$T$15="y"),IF(E66 &lt;= (PI()/4)*$D$10^3, 10.2, 3.58*(E66/$D$12)+6.66), "Tank mixing equations do not apply"))</f>
        <v>Tank mixing equations do not apply</v>
      </c>
      <c r="L66" s="76" t="e">
        <f t="shared" si="5"/>
        <v>#VALUE!</v>
      </c>
      <c r="M66" s="11" t="str">
        <f>IF(ISERROR(H45-H44),"n/a",IF(ISBLANK(E44), H44-H43,H45-H44))</f>
        <v>n/a</v>
      </c>
      <c r="N66" s="47" t="str">
        <f>IF(ISERROR(H45-H44),"n/a",IF(ISBLANK(E44), H45-H44,H44-H43))</f>
        <v>n/a</v>
      </c>
      <c r="O66" s="94"/>
      <c r="Q66" s="481"/>
      <c r="R66" s="481"/>
      <c r="S66" s="481"/>
      <c r="T66" s="481"/>
    </row>
    <row r="67" spans="1:20" ht="13" thickBot="1" x14ac:dyDescent="0.3">
      <c r="B67" s="92">
        <f t="shared" si="3"/>
        <v>0</v>
      </c>
      <c r="C67" s="78">
        <v>15</v>
      </c>
      <c r="D67" s="79">
        <f>IF(ISBLANK(E46),E47,E46)</f>
        <v>0</v>
      </c>
      <c r="E67" s="79">
        <f>IF(ISBLANK(F46),F47,F46)</f>
        <v>0</v>
      </c>
      <c r="F67" s="127" t="str">
        <f t="shared" si="6"/>
        <v>error</v>
      </c>
      <c r="G67" s="127" t="str">
        <f t="shared" si="7"/>
        <v>error</v>
      </c>
      <c r="H67" s="128" t="str">
        <f t="shared" si="8"/>
        <v/>
      </c>
      <c r="I67" s="129" t="str">
        <f t="shared" si="9"/>
        <v>n/a</v>
      </c>
      <c r="J67" s="48" t="e">
        <f t="shared" si="4"/>
        <v>#VALUE!</v>
      </c>
      <c r="K67" s="492" t="str">
        <f>IF(AND('Tank Summary'!$T$16="y",'Tank Summary'!$T$15 = "n"), IF(E67&lt;=$D$10, 10.2, 3.58*(E67/$D$10)+6.66), IF(AND('Tank Summary'!$T$16="y", 'Tank Summary'!$T$15="y"),IF(E67 &lt;= (PI()/4)*$D$10^3, 10.2, 3.58*(E67/$D$12)+6.66), "Tank mixing equations do not apply"))</f>
        <v>Tank mixing equations do not apply</v>
      </c>
      <c r="L67" s="48" t="e">
        <f t="shared" si="5"/>
        <v>#VALUE!</v>
      </c>
      <c r="M67" s="48" t="str">
        <f>IF(ISERROR(H47-H46),"n/a",IF(ISBLANK(E46), H46-H45,H47-H46))</f>
        <v>n/a</v>
      </c>
      <c r="N67" s="65" t="str">
        <f>IF(ISERROR(H47-H46),"n/a",IF(ISBLANK(E46), H47-H46,H46-H45))</f>
        <v>n/a</v>
      </c>
      <c r="O67" s="94"/>
      <c r="Q67" s="481"/>
      <c r="R67" s="481"/>
      <c r="S67" s="481"/>
      <c r="T67" s="481"/>
    </row>
    <row r="68" spans="1:20" ht="13" x14ac:dyDescent="0.3">
      <c r="B68" s="92"/>
      <c r="C68" s="8"/>
      <c r="D68" s="25"/>
      <c r="E68" s="26"/>
      <c r="F68" s="26"/>
      <c r="G68" s="26"/>
      <c r="H68" s="26"/>
      <c r="I68" s="27"/>
      <c r="J68" s="27"/>
      <c r="K68" s="27"/>
      <c r="L68" s="8"/>
      <c r="M68" s="98"/>
      <c r="N68" s="8"/>
      <c r="O68" s="94"/>
      <c r="Q68" s="481"/>
      <c r="R68" s="481"/>
      <c r="S68" s="481"/>
      <c r="T68" s="481"/>
    </row>
    <row r="69" spans="1:20" ht="13.5" thickBot="1" x14ac:dyDescent="0.35">
      <c r="A69" s="94"/>
      <c r="B69" s="92"/>
      <c r="C69" s="99" t="s">
        <v>40</v>
      </c>
      <c r="D69" s="8"/>
      <c r="E69" s="8"/>
      <c r="F69" s="8"/>
      <c r="G69" s="27"/>
      <c r="H69" s="366"/>
      <c r="I69" s="366" t="s">
        <v>18</v>
      </c>
      <c r="J69" s="366"/>
      <c r="K69" s="366"/>
      <c r="L69" s="100"/>
      <c r="M69" s="98"/>
      <c r="N69" s="27"/>
      <c r="O69" s="94"/>
      <c r="Q69" s="481"/>
      <c r="R69" s="481"/>
      <c r="S69" s="481"/>
      <c r="T69" s="481"/>
    </row>
    <row r="70" spans="1:20" ht="13" x14ac:dyDescent="0.3">
      <c r="B70" s="92"/>
      <c r="C70" s="57" t="s">
        <v>39</v>
      </c>
      <c r="D70" s="58"/>
      <c r="E70" s="61" t="e">
        <f>SUM(G53:G67)/COUNTIF(G53:G67,"&gt;0")</f>
        <v>#DIV/0!</v>
      </c>
      <c r="F70" s="52" t="s">
        <v>4</v>
      </c>
      <c r="G70" s="27"/>
      <c r="H70" s="7" t="str">
        <f>IF(D8="y","Avg Vol at Start of Fill","Avg Min Water Level")</f>
        <v>Avg Min Water Level</v>
      </c>
      <c r="I70" s="38"/>
      <c r="J70" s="35" t="e">
        <f>IF('Tank Summary'!K16="n","",SUM(D53:D67)/SUM(B53:B67))</f>
        <v>#DIV/0!</v>
      </c>
      <c r="K70" s="15" t="str">
        <f>IF(D8="y","gal","ft")</f>
        <v>ft</v>
      </c>
      <c r="L70" s="8"/>
      <c r="M70" s="8"/>
      <c r="N70" s="98"/>
      <c r="O70" s="94"/>
      <c r="Q70" s="481"/>
      <c r="R70" s="481"/>
      <c r="S70" s="481"/>
      <c r="T70" s="481"/>
    </row>
    <row r="71" spans="1:20" ht="13" x14ac:dyDescent="0.3">
      <c r="B71" s="92"/>
      <c r="C71" s="4" t="s">
        <v>43</v>
      </c>
      <c r="D71" s="55"/>
      <c r="E71" s="2" t="e">
        <f>SUM(H53:H67)/COUNTIF(H53:H67,"&gt;0")</f>
        <v>#DIV/0!</v>
      </c>
      <c r="F71" s="5" t="s">
        <v>5</v>
      </c>
      <c r="G71" s="8"/>
      <c r="H71" s="39" t="s">
        <v>55</v>
      </c>
      <c r="I71" s="37"/>
      <c r="J71" s="36" t="e">
        <f>IF('Tank Summary'!K16="n","",AVERAGE(J53:J67))</f>
        <v>#VALUE!</v>
      </c>
      <c r="K71" s="16"/>
      <c r="L71" s="8"/>
      <c r="M71" s="8"/>
      <c r="N71" s="8"/>
      <c r="O71" s="94"/>
    </row>
    <row r="72" spans="1:20" ht="13" x14ac:dyDescent="0.3">
      <c r="B72" s="92"/>
      <c r="C72" s="39" t="s">
        <v>36</v>
      </c>
      <c r="D72" s="63"/>
      <c r="E72" s="130" t="e">
        <f>AVERAGE(M53:M67)</f>
        <v>#DIV/0!</v>
      </c>
      <c r="F72" s="16" t="s">
        <v>2</v>
      </c>
      <c r="G72" s="8"/>
      <c r="H72" s="39" t="s">
        <v>56</v>
      </c>
      <c r="I72" s="37"/>
      <c r="J72" s="36" t="e">
        <f>IF('Tank Summary'!K16="n","",AVERAGE(L53:L67))</f>
        <v>#VALUE!</v>
      </c>
      <c r="K72" s="16"/>
      <c r="L72" s="8"/>
      <c r="M72" s="8"/>
      <c r="N72" s="8"/>
      <c r="O72" s="94"/>
    </row>
    <row r="73" spans="1:20" ht="13" x14ac:dyDescent="0.3">
      <c r="B73" s="92"/>
      <c r="C73" s="39" t="s">
        <v>37</v>
      </c>
      <c r="D73" s="63"/>
      <c r="E73" s="131" t="e">
        <f>AVERAGE(N53:N67)</f>
        <v>#DIV/0!</v>
      </c>
      <c r="F73" s="62" t="s">
        <v>2</v>
      </c>
      <c r="G73" s="8"/>
      <c r="H73" s="39" t="str">
        <f>IF(D8="y","Avg Measured Vol Change","Avg Measured Water Level Change")</f>
        <v>Avg Measured Water Level Change</v>
      </c>
      <c r="I73" s="37"/>
      <c r="J73" s="83" t="e">
        <f>IF('Tank Summary'!K16="n","",(SUM(E53:E67)/SUM(B53:B67))-J70)</f>
        <v>#DIV/0!</v>
      </c>
      <c r="K73" s="16" t="str">
        <f>IF(D8="y","gal","ft")</f>
        <v>ft</v>
      </c>
      <c r="L73" s="8"/>
      <c r="M73" s="8"/>
      <c r="N73" s="8"/>
      <c r="O73" s="94"/>
    </row>
    <row r="74" spans="1:20" ht="24.75" customHeight="1" x14ac:dyDescent="0.3">
      <c r="B74" s="92"/>
      <c r="C74" s="39" t="s">
        <v>28</v>
      </c>
      <c r="D74" s="63"/>
      <c r="E74" s="34" t="e">
        <f>E70*10^6/(E72*24*60)</f>
        <v>#DIV/0!</v>
      </c>
      <c r="F74" s="41" t="s">
        <v>26</v>
      </c>
      <c r="G74" s="8"/>
      <c r="H74" s="505" t="str">
        <f>IF(D8="y","Desired Vol Change Needed for Good Mixing","Desired Water Level Change Needed for Good Mixing")</f>
        <v>Desired Water Level Change Needed for Good Mixing</v>
      </c>
      <c r="I74" s="506"/>
      <c r="J74" s="45" t="e">
        <f>IF('Tank Summary'!K16="n","",$J$70*J72)</f>
        <v>#DIV/0!</v>
      </c>
      <c r="K74" s="43" t="str">
        <f>IF(D8="y","gal","ft")</f>
        <v>ft</v>
      </c>
      <c r="L74" s="8"/>
      <c r="M74" s="8"/>
      <c r="N74" s="8"/>
      <c r="O74" s="94"/>
    </row>
    <row r="75" spans="1:20" ht="24.75" customHeight="1" x14ac:dyDescent="0.3">
      <c r="B75" s="92"/>
      <c r="C75" s="39" t="s">
        <v>29</v>
      </c>
      <c r="D75" s="63"/>
      <c r="E75" s="34" t="e">
        <f>E71*10^6/(E73*24*60)</f>
        <v>#DIV/0!</v>
      </c>
      <c r="F75" s="41" t="s">
        <v>26</v>
      </c>
      <c r="G75" s="8"/>
      <c r="H75" s="39" t="s">
        <v>57</v>
      </c>
      <c r="I75" s="432"/>
      <c r="J75" s="160" t="e">
        <f>IF('Tank Summary'!K16="n","",J73/J74)</f>
        <v>#DIV/0!</v>
      </c>
      <c r="K75" s="5"/>
      <c r="L75" s="8"/>
      <c r="M75" s="8"/>
      <c r="N75" s="8"/>
      <c r="O75" s="94"/>
    </row>
    <row r="76" spans="1:20" ht="27" customHeight="1" thickBot="1" x14ac:dyDescent="0.35">
      <c r="B76" s="92"/>
      <c r="C76" s="59" t="s">
        <v>38</v>
      </c>
      <c r="D76" s="60"/>
      <c r="E76" s="64" t="e">
        <f>E72+E73</f>
        <v>#DIV/0!</v>
      </c>
      <c r="F76" s="24" t="s">
        <v>2</v>
      </c>
      <c r="G76" s="8"/>
      <c r="H76" s="42" t="s">
        <v>54</v>
      </c>
      <c r="I76" s="431"/>
      <c r="J76" s="44" t="e">
        <f>IF('Tank Summary'!K16="n","",(((((SUM(F53:F67)/SUM(B53:B67))*10^6/7.48)^(1/3))*$J$71)/9)*12)</f>
        <v>#DIV/0!</v>
      </c>
      <c r="K76" s="3" t="s">
        <v>31</v>
      </c>
      <c r="L76" s="8"/>
      <c r="M76" s="8"/>
      <c r="N76" s="8"/>
      <c r="O76" s="94"/>
    </row>
    <row r="77" spans="1:20" ht="14.25" customHeight="1" x14ac:dyDescent="0.3">
      <c r="B77" s="92"/>
      <c r="C77" s="39" t="s">
        <v>53</v>
      </c>
      <c r="D77" s="56"/>
      <c r="E77" s="36" t="e">
        <f>E70/E76</f>
        <v>#DIV/0!</v>
      </c>
      <c r="F77" s="5" t="s">
        <v>3</v>
      </c>
      <c r="G77" s="8"/>
      <c r="H77" s="8"/>
      <c r="I77" s="507" t="str">
        <f>IF('Tank Summary'!T26="no","The tank mixing equations are not applicable.",IF(J73&lt;J74,"Mixing is at an undesirable level, use Mixing Analysis (Section II) to determine strategies that will increase mixing.","Mixing is at a desired level."))</f>
        <v>The tank mixing equations are not applicable.</v>
      </c>
      <c r="J77" s="507"/>
      <c r="K77" s="507"/>
      <c r="L77" s="508"/>
      <c r="M77" s="8"/>
      <c r="N77" s="8"/>
      <c r="O77" s="94"/>
    </row>
    <row r="78" spans="1:20" ht="13" x14ac:dyDescent="0.3">
      <c r="B78" s="92"/>
      <c r="C78" s="39" t="s">
        <v>44</v>
      </c>
      <c r="D78" s="56"/>
      <c r="E78" s="36" t="e">
        <f>AVERAGE(I53:I67)</f>
        <v>#DIV/0!</v>
      </c>
      <c r="F78" s="5" t="s">
        <v>5</v>
      </c>
      <c r="G78" s="8"/>
      <c r="H78" s="8"/>
      <c r="I78" s="508"/>
      <c r="J78" s="508"/>
      <c r="K78" s="508"/>
      <c r="L78" s="508"/>
      <c r="M78" s="8"/>
      <c r="N78" s="8"/>
      <c r="O78" s="94"/>
    </row>
    <row r="79" spans="1:20" ht="13.5" thickBot="1" x14ac:dyDescent="0.35">
      <c r="B79" s="92"/>
      <c r="C79" s="42" t="s">
        <v>8</v>
      </c>
      <c r="D79" s="40"/>
      <c r="E79" s="54" t="e">
        <f>E78/E77</f>
        <v>#DIV/0!</v>
      </c>
      <c r="F79" s="6" t="s">
        <v>2</v>
      </c>
      <c r="G79" s="8"/>
      <c r="H79" s="8"/>
      <c r="I79" s="508"/>
      <c r="J79" s="508"/>
      <c r="K79" s="508"/>
      <c r="L79" s="508"/>
      <c r="M79" s="8"/>
      <c r="N79" s="8"/>
      <c r="O79" s="94"/>
    </row>
    <row r="80" spans="1:20" ht="12.75" customHeight="1" x14ac:dyDescent="0.3">
      <c r="B80" s="92"/>
      <c r="C80" s="93"/>
      <c r="D80" s="503" t="e">
        <f>IF(E79&gt;5, "Turnover time is at an undesirable level, use Turnover Time Analysis (Step 2) to determine operational strategies that will reduce turnover time.","Turnover Time is at a desired level.")</f>
        <v>#DIV/0!</v>
      </c>
      <c r="E80" s="503"/>
      <c r="F80" s="503"/>
      <c r="G80" s="8"/>
      <c r="H80" s="126"/>
      <c r="I80" s="508"/>
      <c r="J80" s="508"/>
      <c r="K80" s="508"/>
      <c r="L80" s="508"/>
      <c r="M80" s="8"/>
      <c r="N80" s="8"/>
      <c r="O80" s="94"/>
    </row>
    <row r="81" spans="2:15" ht="11.25" customHeight="1" x14ac:dyDescent="0.3">
      <c r="B81" s="92"/>
      <c r="C81" s="8"/>
      <c r="D81" s="504"/>
      <c r="E81" s="504"/>
      <c r="F81" s="504"/>
      <c r="G81" s="8"/>
      <c r="H81" s="126"/>
      <c r="I81" s="82"/>
      <c r="J81" s="82"/>
      <c r="K81" s="82"/>
      <c r="L81" s="82"/>
      <c r="M81" s="8"/>
      <c r="N81" s="8"/>
      <c r="O81" s="94"/>
    </row>
    <row r="82" spans="2:15" ht="12.75" customHeight="1" x14ac:dyDescent="0.25">
      <c r="B82" s="92"/>
      <c r="C82" s="8"/>
      <c r="D82" s="504"/>
      <c r="E82" s="504"/>
      <c r="F82" s="504"/>
      <c r="G82" s="8"/>
      <c r="H82" s="8"/>
      <c r="I82" s="8"/>
      <c r="J82" s="29"/>
      <c r="K82" s="29"/>
      <c r="L82" s="8"/>
      <c r="M82" s="8"/>
      <c r="N82" s="8"/>
      <c r="O82" s="94"/>
    </row>
    <row r="83" spans="2:15" ht="16.5" customHeight="1" x14ac:dyDescent="0.25">
      <c r="B83" s="92"/>
      <c r="C83" s="8"/>
      <c r="D83" s="504"/>
      <c r="E83" s="504"/>
      <c r="F83" s="504"/>
      <c r="G83" s="8"/>
      <c r="H83" s="8"/>
      <c r="I83" s="8"/>
      <c r="J83" s="29"/>
      <c r="K83" s="29"/>
      <c r="L83" s="8"/>
      <c r="M83" s="8"/>
      <c r="N83" s="8"/>
      <c r="O83" s="94"/>
    </row>
    <row r="84" spans="2:15" ht="13" thickBot="1" x14ac:dyDescent="0.3">
      <c r="B84" s="101"/>
      <c r="C84" s="102"/>
      <c r="D84" s="102"/>
      <c r="E84" s="102"/>
      <c r="F84" s="102"/>
      <c r="G84" s="102"/>
      <c r="H84" s="102"/>
      <c r="I84" s="102"/>
      <c r="J84" s="102"/>
      <c r="K84" s="102"/>
      <c r="L84" s="102"/>
      <c r="M84" s="102"/>
      <c r="N84" s="102"/>
      <c r="O84" s="103"/>
    </row>
    <row r="85" spans="2:15" ht="18.5" thickBot="1" x14ac:dyDescent="0.45">
      <c r="B85" s="116" t="s">
        <v>188</v>
      </c>
      <c r="C85" s="111"/>
      <c r="D85" s="111"/>
      <c r="E85" s="120"/>
      <c r="F85" s="121"/>
      <c r="G85" s="111"/>
      <c r="H85" s="111"/>
      <c r="I85" s="111"/>
      <c r="J85" s="111"/>
      <c r="K85" s="111"/>
      <c r="L85" s="118"/>
      <c r="M85" s="118"/>
      <c r="N85" s="118"/>
      <c r="O85" s="119"/>
    </row>
    <row r="86" spans="2:15" x14ac:dyDescent="0.25">
      <c r="B86" s="92"/>
      <c r="C86" s="29"/>
      <c r="D86" s="29"/>
      <c r="E86" s="29"/>
      <c r="F86" s="29"/>
      <c r="G86" s="29"/>
      <c r="H86" s="29"/>
      <c r="I86" s="29"/>
      <c r="J86" s="29"/>
      <c r="K86" s="29"/>
      <c r="L86" s="8"/>
      <c r="M86" s="8"/>
      <c r="N86" s="8"/>
      <c r="O86" s="94"/>
    </row>
    <row r="87" spans="2:15" ht="13" x14ac:dyDescent="0.3">
      <c r="B87" s="92"/>
      <c r="C87" s="95" t="s">
        <v>65</v>
      </c>
      <c r="D87" s="29"/>
      <c r="E87" s="29"/>
      <c r="F87" s="29"/>
      <c r="G87" s="29"/>
      <c r="H87" s="29"/>
      <c r="I87" s="29"/>
      <c r="J87" s="29"/>
      <c r="K87" s="29"/>
      <c r="L87" s="8"/>
      <c r="M87" s="8"/>
      <c r="N87" s="8"/>
      <c r="O87" s="94"/>
    </row>
    <row r="88" spans="2:15" ht="13" x14ac:dyDescent="0.3">
      <c r="B88" s="92"/>
      <c r="C88" s="95" t="s">
        <v>207</v>
      </c>
      <c r="D88" s="29"/>
      <c r="E88" s="29"/>
      <c r="F88" s="29"/>
      <c r="G88" s="29"/>
      <c r="H88" s="29"/>
      <c r="I88" s="29"/>
      <c r="J88" s="29"/>
      <c r="K88" s="29"/>
      <c r="L88" s="8"/>
      <c r="M88" s="8"/>
      <c r="N88" s="8"/>
      <c r="O88" s="94"/>
    </row>
    <row r="89" spans="2:15" ht="13" x14ac:dyDescent="0.3">
      <c r="B89" s="92"/>
      <c r="C89" s="95"/>
      <c r="D89" s="29"/>
      <c r="E89" s="29"/>
      <c r="F89" s="29"/>
      <c r="G89" s="29"/>
      <c r="H89" s="29"/>
      <c r="I89" s="29"/>
      <c r="J89" s="29"/>
      <c r="K89" s="29"/>
      <c r="L89" s="8"/>
      <c r="M89" s="8"/>
      <c r="N89" s="8"/>
      <c r="O89" s="94"/>
    </row>
    <row r="90" spans="2:15" ht="13" x14ac:dyDescent="0.3">
      <c r="B90" s="92"/>
      <c r="C90" s="95" t="s">
        <v>77</v>
      </c>
      <c r="D90" s="29"/>
      <c r="E90" s="29"/>
      <c r="F90" s="29"/>
      <c r="G90" s="29"/>
      <c r="H90" s="29"/>
      <c r="I90" s="29"/>
      <c r="J90" s="29"/>
      <c r="K90" s="29"/>
      <c r="L90" s="8"/>
      <c r="M90" s="8"/>
      <c r="N90" s="8"/>
      <c r="O90" s="94"/>
    </row>
    <row r="91" spans="2:15" ht="13" x14ac:dyDescent="0.3">
      <c r="B91" s="92"/>
      <c r="C91" s="344" t="s">
        <v>294</v>
      </c>
      <c r="D91" s="488"/>
      <c r="E91" s="488"/>
      <c r="F91" s="488"/>
      <c r="G91" s="488"/>
      <c r="H91" s="29"/>
      <c r="I91" s="29"/>
      <c r="J91" s="29"/>
      <c r="K91" s="29"/>
      <c r="L91" s="8"/>
      <c r="M91" s="8"/>
      <c r="N91" s="8"/>
      <c r="O91" s="94"/>
    </row>
    <row r="92" spans="2:15" ht="13" x14ac:dyDescent="0.3">
      <c r="B92" s="92"/>
      <c r="C92" s="95"/>
      <c r="D92" s="29"/>
      <c r="E92" s="29"/>
      <c r="F92" s="29"/>
      <c r="G92" s="29"/>
      <c r="H92" s="29"/>
      <c r="I92" s="29"/>
      <c r="J92" s="29"/>
      <c r="K92" s="29"/>
      <c r="L92" s="8"/>
      <c r="M92" s="8"/>
      <c r="N92" s="8"/>
      <c r="O92" s="94"/>
    </row>
    <row r="93" spans="2:15" ht="13" x14ac:dyDescent="0.3">
      <c r="B93" s="92"/>
      <c r="C93" s="95" t="s">
        <v>280</v>
      </c>
      <c r="D93" s="29"/>
      <c r="E93" s="29"/>
      <c r="F93" s="29"/>
      <c r="G93" s="29"/>
      <c r="H93" s="29"/>
      <c r="I93" s="29"/>
      <c r="J93" s="29"/>
      <c r="K93" s="29"/>
      <c r="L93" s="8"/>
      <c r="M93" s="8"/>
      <c r="N93" s="8"/>
      <c r="O93" s="94"/>
    </row>
    <row r="94" spans="2:15" ht="13" x14ac:dyDescent="0.3">
      <c r="B94" s="92"/>
      <c r="C94" s="95"/>
      <c r="D94" s="29"/>
      <c r="E94" s="29"/>
      <c r="F94" s="29"/>
      <c r="G94" s="29"/>
      <c r="H94" s="29"/>
      <c r="I94" s="29"/>
      <c r="J94" s="29"/>
      <c r="K94" s="29"/>
      <c r="L94" s="8"/>
      <c r="M94" s="8"/>
      <c r="N94" s="8"/>
      <c r="O94" s="94"/>
    </row>
    <row r="95" spans="2:15" ht="13" x14ac:dyDescent="0.3">
      <c r="B95" s="92"/>
      <c r="C95" s="29"/>
      <c r="D95" s="133" t="s">
        <v>27</v>
      </c>
      <c r="E95" s="81" t="s">
        <v>45</v>
      </c>
      <c r="F95" s="81" t="s">
        <v>46</v>
      </c>
      <c r="G95" s="81" t="s">
        <v>47</v>
      </c>
      <c r="H95" s="81" t="s">
        <v>48</v>
      </c>
      <c r="I95" s="81" t="s">
        <v>49</v>
      </c>
      <c r="J95" s="29"/>
      <c r="K95" s="29"/>
      <c r="L95" s="8"/>
      <c r="M95" s="8"/>
      <c r="N95" s="8"/>
      <c r="O95" s="94"/>
    </row>
    <row r="96" spans="2:15" ht="13" x14ac:dyDescent="0.3">
      <c r="B96" s="92"/>
      <c r="C96" s="122" t="str">
        <f>IF(OR($D$7="c",D7="h"), "Tank diameter", IF($D$7="r","Longest Sidewall Length",""))</f>
        <v/>
      </c>
      <c r="D96" s="31">
        <f>'Tank#9'!D10</f>
        <v>0</v>
      </c>
      <c r="E96" s="66">
        <f>$D$96</f>
        <v>0</v>
      </c>
      <c r="F96" s="66">
        <f>$D$96</f>
        <v>0</v>
      </c>
      <c r="G96" s="66">
        <f>$D$96</f>
        <v>0</v>
      </c>
      <c r="H96" s="66">
        <f>$D$96</f>
        <v>0</v>
      </c>
      <c r="I96" s="66">
        <f>$D$96</f>
        <v>0</v>
      </c>
      <c r="J96" s="95" t="str">
        <f>IF(D8="y","","ft")</f>
        <v>ft</v>
      </c>
      <c r="K96" s="95"/>
      <c r="L96" s="8"/>
      <c r="M96" s="8"/>
      <c r="N96" s="8"/>
      <c r="O96" s="94"/>
    </row>
    <row r="97" spans="2:15" ht="13" x14ac:dyDescent="0.3">
      <c r="B97" s="92"/>
      <c r="C97" s="95" t="str">
        <f>IF(OR($D$7="c",D7="h"),"",IF($D$7="r","Shortest Sidewall Length",""))</f>
        <v/>
      </c>
      <c r="D97" s="33">
        <f>'Tank#9'!D11</f>
        <v>0</v>
      </c>
      <c r="E97" s="66">
        <f>$D$97</f>
        <v>0</v>
      </c>
      <c r="F97" s="66">
        <f>$D$97</f>
        <v>0</v>
      </c>
      <c r="G97" s="66">
        <f>$D$97</f>
        <v>0</v>
      </c>
      <c r="H97" s="66">
        <f>$D$97</f>
        <v>0</v>
      </c>
      <c r="I97" s="66">
        <f>$D$97</f>
        <v>0</v>
      </c>
      <c r="J97" s="95" t="str">
        <f>IF(D8="y","","ft")</f>
        <v>ft</v>
      </c>
      <c r="K97" s="95"/>
      <c r="L97" s="8"/>
      <c r="M97" s="8"/>
      <c r="N97" s="8"/>
      <c r="O97" s="94"/>
    </row>
    <row r="98" spans="2:15" ht="13" x14ac:dyDescent="0.3">
      <c r="B98" s="92"/>
      <c r="C98" s="346" t="s">
        <v>30</v>
      </c>
      <c r="D98" s="124">
        <f>'Tank#9'!D13</f>
        <v>0</v>
      </c>
      <c r="E98" s="345"/>
      <c r="F98" s="345"/>
      <c r="G98" s="345"/>
      <c r="H98" s="345"/>
      <c r="I98" s="345"/>
      <c r="J98" s="95" t="s">
        <v>1</v>
      </c>
      <c r="K98" s="95"/>
      <c r="L98" s="8"/>
      <c r="M98" s="8"/>
      <c r="N98" s="8"/>
      <c r="O98" s="94"/>
    </row>
    <row r="99" spans="2:15" ht="13" x14ac:dyDescent="0.3">
      <c r="B99" s="92"/>
      <c r="C99" s="346" t="str">
        <f>IF(D8="y","Fraction Full (Max Level)","High/Max Level")</f>
        <v>High/Max Level</v>
      </c>
      <c r="D99" s="80" t="b">
        <f>IF(OR($D$7="c",$D$7="r",$D$7="h"),(SUM(E53:E67)/COUNTIF(E53:E67,"&gt;0")),IF($D$8="y",(SUM(E53:E67)/COUNTIF(E53:E67,"&gt;0"))/($D$6*10^6)))</f>
        <v>0</v>
      </c>
      <c r="E99" s="345"/>
      <c r="F99" s="345"/>
      <c r="G99" s="345"/>
      <c r="H99" s="345"/>
      <c r="I99" s="345"/>
      <c r="J99" s="95" t="str">
        <f>IF(D8="y","","ft")</f>
        <v>ft</v>
      </c>
      <c r="K99" s="95"/>
      <c r="L99" s="8"/>
      <c r="M99" s="8"/>
      <c r="N99" s="8"/>
      <c r="O99" s="94"/>
    </row>
    <row r="100" spans="2:15" ht="13" x14ac:dyDescent="0.3">
      <c r="B100" s="92"/>
      <c r="C100" s="346" t="str">
        <f>IF(D8="y","Fraction Full (Min Level)","Low/Min Level")</f>
        <v>Low/Min Level</v>
      </c>
      <c r="D100" s="80" t="b">
        <f>IF(OR($D$7="c",$D$7="r",$D$7="s",$D$7="h"),(SUM(D53:D67)/COUNTIF(D53:D67,"&gt;0")),IF($D$8="y",(SUM(D53:D67)/COUNTIF(D53:D67,"&gt;0"))/($D$6*10^6)))</f>
        <v>0</v>
      </c>
      <c r="E100" s="345"/>
      <c r="F100" s="345"/>
      <c r="G100" s="345"/>
      <c r="H100" s="345"/>
      <c r="I100" s="345"/>
      <c r="J100" s="95" t="str">
        <f>IF(D8="y","","ft")</f>
        <v>ft</v>
      </c>
      <c r="K100" s="95"/>
      <c r="L100" s="8"/>
      <c r="M100" s="8"/>
      <c r="N100" s="8"/>
      <c r="O100" s="94"/>
    </row>
    <row r="101" spans="2:15" ht="15.5" x14ac:dyDescent="0.35">
      <c r="B101" s="92"/>
      <c r="C101" s="125" t="str">
        <f>IF(OR(D7="c", D7="r",D7="h"),"H/D ratio","")</f>
        <v/>
      </c>
      <c r="D101" s="490" t="str">
        <f t="shared" ref="D101:I101" si="10">IF(OR($D$7="c", $D$7="r",$D$7="h"),D99/D96,"")</f>
        <v/>
      </c>
      <c r="E101" s="124" t="str">
        <f t="shared" si="10"/>
        <v/>
      </c>
      <c r="F101" s="124" t="str">
        <f t="shared" si="10"/>
        <v/>
      </c>
      <c r="G101" s="124" t="str">
        <f t="shared" si="10"/>
        <v/>
      </c>
      <c r="H101" s="124" t="str">
        <f t="shared" si="10"/>
        <v/>
      </c>
      <c r="I101" s="124" t="str">
        <f t="shared" si="10"/>
        <v/>
      </c>
      <c r="J101" s="134"/>
      <c r="K101" s="148"/>
      <c r="L101" s="8"/>
      <c r="M101" s="8"/>
      <c r="N101" s="8"/>
      <c r="O101" s="94"/>
    </row>
    <row r="102" spans="2:15" ht="13" x14ac:dyDescent="0.3">
      <c r="B102" s="92"/>
      <c r="C102" s="123" t="str">
        <f>IF(D8="y","Actual Vol Change","Actual Level Change")</f>
        <v>Actual Level Change</v>
      </c>
      <c r="D102" s="124" t="e">
        <f>'Tank#9'!J73</f>
        <v>#DIV/0!</v>
      </c>
      <c r="E102" s="80" t="str">
        <f>IF(OR($D$7="c",$D$7="h",$D$7="r"),E99-E100,IF($D$8="y",($D$6*10^6)*(E99-E100),""))</f>
        <v/>
      </c>
      <c r="F102" s="80" t="str">
        <f>IF(OR($D$7="c",$D$7="h",$D$7="r"),F99-F100,IF($D$8="y",($D$6*10^6)*(F99-F100),""))</f>
        <v/>
      </c>
      <c r="G102" s="80" t="str">
        <f>IF(OR($D$7="c",$D$7="h",$D$7="r"),G99-G100,IF($D$8="y",($D$6*10^6)*(G99-G100),""))</f>
        <v/>
      </c>
      <c r="H102" s="80" t="str">
        <f>IF(OR($D$7="c",$D$7="h",$D$7="r"),H99-H100,IF($D$8="y",($D$6*10^6)*(H99-H100),""))</f>
        <v/>
      </c>
      <c r="I102" s="80" t="str">
        <f>IF(OR($D$7="c",$D$7="h",$D$7="r"),I99-I100,IF($D$8="y",($D$6*10^6)*(I99-I100),""))</f>
        <v/>
      </c>
      <c r="J102" s="95" t="str">
        <f>IF(OR(D7="c",D7="r"),"ft",IF(AND(D7="n",D8="y"),"gal",""))</f>
        <v/>
      </c>
      <c r="K102" s="95"/>
      <c r="L102" s="8"/>
      <c r="M102" s="8"/>
      <c r="N102" s="8"/>
      <c r="O102" s="94"/>
    </row>
    <row r="103" spans="2:15" ht="13" x14ac:dyDescent="0.3">
      <c r="B103" s="92"/>
      <c r="C103" s="123" t="s">
        <v>94</v>
      </c>
      <c r="D103" s="494" t="e">
        <f>IF('Tank Summary'!$K$16="y",IF((D99/$D$10)&lt;=1,10.2,(3.58*(D99/$D$10)+6.66)),"Tank mixing equations do not apply")</f>
        <v>#DIV/0!</v>
      </c>
      <c r="E103" s="494" t="e">
        <f>IF('Tank Summary'!$K$16="y",IF((E99/$D$10)&lt;=1,10.2,(3.58*(E99/$D$10)+6.66)),"Tank mixing equations do not apply")</f>
        <v>#DIV/0!</v>
      </c>
      <c r="F103" s="494" t="e">
        <f>IF('Tank Summary'!$K$16="y",IF((F99/$D$10)&lt;=1,10.2,(3.58*(F99/$D$10)+6.66)),"Tank mixing equations do not apply")</f>
        <v>#DIV/0!</v>
      </c>
      <c r="G103" s="494" t="e">
        <f>IF('Tank Summary'!$K$16="y",IF((G99/$D$10)&lt;=1,10.2,(3.58*(G99/$D$10)+6.66)),"Tank mixing equations do not apply")</f>
        <v>#DIV/0!</v>
      </c>
      <c r="H103" s="494" t="e">
        <f>IF('Tank Summary'!$K$16="y",IF((H99/$D$10)&lt;=1,10.2,(3.58*(H99/$D$10)+6.66)),"Tank mixing equations do not apply")</f>
        <v>#DIV/0!</v>
      </c>
      <c r="I103" s="494" t="e">
        <f>IF('Tank Summary'!$K$16="y",IF((I99/$D$10)&lt;=1,10.2,(3.58*(I99/$D$10)+6.66)),"Tank mixing equations do not apply")</f>
        <v>#DIV/0!</v>
      </c>
      <c r="J103" s="95"/>
      <c r="K103" s="95"/>
      <c r="L103" s="8"/>
      <c r="M103" s="8"/>
      <c r="N103" s="8"/>
      <c r="O103" s="94"/>
    </row>
    <row r="104" spans="2:15" ht="26" x14ac:dyDescent="0.3">
      <c r="B104" s="92"/>
      <c r="C104" s="123" t="str">
        <f>IF(D8="y","Desired Vol Change Needed for Good Mixing","Desired Level Change Needed for Good Mixing")</f>
        <v>Desired Level Change Needed for Good Mixing</v>
      </c>
      <c r="D104" s="124" t="e">
        <f>'Tank#9'!J74</f>
        <v>#DIV/0!</v>
      </c>
      <c r="E104" s="80" t="str">
        <f>IF(OR($D$7="c",$D$7="h"),(((E103/1.13)*E98)/((E100*PI()*(E96/2)^2)^(1/3)))*E100,IF($D$7="r",(((E103/1.13)*E98)/((E100*E96*E97)^(1/3)))*E100,IF($D$8="y",(((E103/1.13)*E98)/(((E100*$D$6*10^6)/7.480519)^(1/3)))*(E100*$D$6*10^6),"")))</f>
        <v/>
      </c>
      <c r="F104" s="80" t="str">
        <f>IF(OR($D$7="c",$D$7="h"),(((F103/1.13)*F98)/((F100*PI()*(F96/2)^2)^(1/3)))*F100,IF($D$7="r",(((F103/1.13)*F98)/((F100*F96*F97)^(1/3)))*F100,IF($D$8="y",(((F103/1.13)*F98)/(((F100*$D$6*10^6)/7.480519)^(1/3)))*(F100*$D$6*10^6),"")))</f>
        <v/>
      </c>
      <c r="G104" s="80" t="str">
        <f>IF(OR($D$7="c",$D$7="h"),(((G103/1.13)*G98)/((G100*PI()*(G96/2)^2)^(1/3)))*G100,IF($D$7="r",(((G103/1.13)*G98)/((G100*G96*G97)^(1/3)))*G100,IF($D$8="y",(((G103/1.13)*G98)/(((G100*$D$6*10^6)/7.480519)^(1/3)))*(G100*$D$6*10^6),"")))</f>
        <v/>
      </c>
      <c r="H104" s="80" t="str">
        <f>IF(OR($D$7="c",$D$7="h"),(((H103/1.13)*H98)/((H100*PI()*(H96/2)^2)^(1/3)))*H100,IF($D$7="r",(((H103/1.13)*H98)/((H100*H96*H97)^(1/3)))*H100,IF($D$8="y",(((H103/1.13)*H98)/(((H100*$D$6*10^6)/7.480519)^(1/3)))*(H100*$D$6*10^6),"")))</f>
        <v/>
      </c>
      <c r="I104" s="80" t="str">
        <f>IF(OR($D$7="c",$D$7="h"),(((I103/1.13)*I98)/((I100*PI()*(I96/2)^2)^(1/3)))*I100,IF($D$7="r",(((I103/1.13)*I98)/((I100*I96*I97)^(1/3)))*I100,IF($D$8="y",(((I103/1.13)*I98)/(((I100*$D$6*10^6)/7.480519)^(1/3)))*(I100*$D$6*10^6),"")))</f>
        <v/>
      </c>
      <c r="J104" s="95" t="str">
        <f>IF(OR(D7="c",D7="r"),"ft",IF(AND(D7="n",D8="y"),"gal",""))</f>
        <v/>
      </c>
      <c r="K104" s="95"/>
      <c r="L104" s="8"/>
      <c r="M104" s="8"/>
      <c r="N104" s="8"/>
      <c r="O104" s="94"/>
    </row>
    <row r="105" spans="2:15" ht="39" customHeight="1" x14ac:dyDescent="0.3">
      <c r="B105" s="92"/>
      <c r="C105" s="105" t="str">
        <f>IF(D8="y","","Pressure Drop After Change in Min Water Level")</f>
        <v>Pressure Drop After Change in Min Water Level</v>
      </c>
      <c r="D105" s="12"/>
      <c r="E105" s="12">
        <f>IF($D$8="y","",($D$100-E100)/2.31)</f>
        <v>0</v>
      </c>
      <c r="F105" s="12">
        <f>IF($D$8="y","",($D$100-F100)/2.31)</f>
        <v>0</v>
      </c>
      <c r="G105" s="12">
        <f>IF($D$8="y","",($D$100-G100)/2.31)</f>
        <v>0</v>
      </c>
      <c r="H105" s="12">
        <f>IF($D$8="y","",($D$100-H100)/2.31)</f>
        <v>0</v>
      </c>
      <c r="I105" s="12">
        <f>IF($D$8="y","",($D$100-I100)/2.31)</f>
        <v>0</v>
      </c>
      <c r="J105" s="95" t="str">
        <f>IF(OR(D7="c",D7="r",D7="h"),"psi",IF(AND(D7="n",D8="y"),"",""))</f>
        <v/>
      </c>
      <c r="K105" s="95"/>
      <c r="L105" s="8"/>
      <c r="M105" s="8"/>
      <c r="N105" s="8"/>
      <c r="O105" s="94"/>
    </row>
    <row r="106" spans="2:15" ht="13" x14ac:dyDescent="0.3">
      <c r="B106" s="92"/>
      <c r="C106" s="123" t="s">
        <v>287</v>
      </c>
      <c r="D106" s="33" t="e">
        <f>'Tank#9'!E74</f>
        <v>#DIV/0!</v>
      </c>
      <c r="E106" s="33" t="e">
        <f>D106</f>
        <v>#DIV/0!</v>
      </c>
      <c r="F106" s="33" t="e">
        <f>E106</f>
        <v>#DIV/0!</v>
      </c>
      <c r="G106" s="33" t="e">
        <f>F106</f>
        <v>#DIV/0!</v>
      </c>
      <c r="H106" s="159" t="e">
        <f>G106</f>
        <v>#DIV/0!</v>
      </c>
      <c r="I106" s="159" t="e">
        <f>H106</f>
        <v>#DIV/0!</v>
      </c>
      <c r="J106" s="95" t="s">
        <v>26</v>
      </c>
      <c r="K106" s="95"/>
      <c r="L106" s="8"/>
      <c r="M106" s="8"/>
      <c r="N106" s="8"/>
      <c r="O106" s="94"/>
    </row>
    <row r="107" spans="2:15" ht="26" x14ac:dyDescent="0.3">
      <c r="B107" s="92"/>
      <c r="C107" s="105" t="s">
        <v>286</v>
      </c>
      <c r="D107" s="33" t="e">
        <f>'Tank#9'!E75</f>
        <v>#DIV/0!</v>
      </c>
      <c r="E107" s="33" t="e">
        <f>D107</f>
        <v>#DIV/0!</v>
      </c>
      <c r="F107" s="33" t="e">
        <f>D107</f>
        <v>#DIV/0!</v>
      </c>
      <c r="G107" s="33" t="e">
        <f>D107</f>
        <v>#DIV/0!</v>
      </c>
      <c r="H107" s="159" t="e">
        <f>D107</f>
        <v>#DIV/0!</v>
      </c>
      <c r="I107" s="159" t="e">
        <f>D107</f>
        <v>#DIV/0!</v>
      </c>
      <c r="J107" s="95" t="s">
        <v>26</v>
      </c>
      <c r="K107" s="95"/>
      <c r="L107" s="8"/>
      <c r="M107" s="8"/>
      <c r="N107" s="8"/>
      <c r="O107" s="94"/>
    </row>
    <row r="108" spans="2:15" ht="13" x14ac:dyDescent="0.3">
      <c r="B108" s="92"/>
      <c r="C108" s="123" t="s">
        <v>36</v>
      </c>
      <c r="D108" s="11" t="e">
        <f>'Tank#9'!E72</f>
        <v>#DIV/0!</v>
      </c>
      <c r="E108" s="11" t="e">
        <f>ROUND(IF(OR($D$7="c",$D$7="h"),(E99-E100)*PI()*((E96/2)^2)*7.480519/(E106*24*60),IF($D$7="r",(E99-E100)*E96*E97*7.480519/(E106*24*60),IF($D$8="y",((E99*$D$6*10^6)-(E100*$D$6*10^6))/(E106*24*60),""))),2)</f>
        <v>#VALUE!</v>
      </c>
      <c r="F108" s="11" t="e">
        <f>ROUND(IF(OR($D$7="c",$D$7="h"),(F99-F100)*PI()*((F96/2)^2)*7.480519/(F106*24*60),IF($D$7="r",(F99-F100)*F96*F97*7.480519/(F106*24*60),IF($D$8="y",((F99*$D$6*10^6)-(F100*$D$6*10^6))/(F106*24*60),""))),2)</f>
        <v>#VALUE!</v>
      </c>
      <c r="G108" s="11" t="e">
        <f>ROUND(IF(OR($D$7="c",$D$7="h"),(G99-G100)*PI()*((G96/2)^2)*7.480519/(G106*24*60),IF($D$7="r",(G99-G100)*G96*G97*7.480519/(G106*24*60),IF($D$8="y",((G99*$D$6*10^6)-(G100*$D$6*10^6))/(G106*24*60),""))),2)</f>
        <v>#VALUE!</v>
      </c>
      <c r="H108" s="11" t="e">
        <f>ROUND(IF(OR($D$7="c",$D$7="h"),(H99-H100)*PI()*((H96/2)^2)*7.480519/(H106*24*60),IF($D$7="r",(H99-H100)*H96*H97*7.480519/(H106*24*60),IF($D$8="y",((H99*$D$6*10^6)-(H100*$D$6*10^6))/(H106*24*60),""))),2)</f>
        <v>#VALUE!</v>
      </c>
      <c r="I108" s="11" t="e">
        <f>ROUND(IF(OR($D$7="c",$D$7="h"),(I99-I100)*PI()*((I96/2)^2)*7.480519/(I106*24*60),IF($D$7="r",(I99-I100)*I96*I97*7.480519/(I106*24*60),IF($D$8="y",((I99*$D$6*10^6)-(I100*$D$6*10^6))/(I106*24*60),""))),2)</f>
        <v>#VALUE!</v>
      </c>
      <c r="J108" s="95" t="s">
        <v>2</v>
      </c>
      <c r="K108" s="95"/>
      <c r="L108" s="8"/>
      <c r="M108" s="8"/>
      <c r="N108" s="8"/>
      <c r="O108" s="94"/>
    </row>
    <row r="109" spans="2:15" ht="13" x14ac:dyDescent="0.3">
      <c r="B109" s="92"/>
      <c r="C109" s="105" t="s">
        <v>37</v>
      </c>
      <c r="D109" s="11" t="e">
        <f>'Tank#9'!E73</f>
        <v>#DIV/0!</v>
      </c>
      <c r="E109" s="11" t="e">
        <f>ROUND(IF(OR($D$7="c",$D$7="h"),(E99-E100)*PI()*((E96/2)^2)*7.480519/(E107*24*60),IF($D$7="r",(E99-E100)*E96*E97*7.480519/(E107*24*60),IF($D$8="y",((E99*$D$6*10^6)-(E100*$D$6*10^6))/(E107*24*60),""))),2)</f>
        <v>#VALUE!</v>
      </c>
      <c r="F109" s="11" t="e">
        <f>ROUND(IF(OR($D$7="c",$D$7="h"),(F99-F100)*PI()*((F96/2)^2)*7.480519/(F107*24*60),IF($D$7="r",(F99-F100)*F96*F97*7.480519/(F107*24*60),IF($D$8="y",((F99*$D$6*10^6)-(F100*$D$6*10^6))/(F107*24*60),""))),2)</f>
        <v>#VALUE!</v>
      </c>
      <c r="G109" s="11" t="e">
        <f>ROUND(IF(OR($D$7="c",$D$7="h"),(G99-G100)*PI()*((G96/2)^2)*7.480519/(G107*24*60),IF($D$7="r",(G99-G100)*G96*G97*7.480519/(G107*24*60),IF($D$8="y",((G99*$D$6*10^6)-(G100*$D$6*10^6))/(G107*24*60),""))),2)</f>
        <v>#VALUE!</v>
      </c>
      <c r="H109" s="11" t="e">
        <f>ROUND(IF(OR($D$7="c",$D$7="h"),(H99-H100)*PI()*((H96/2)^2)*7.480519/(H107*24*60),IF($D$7="r",(H99-H100)*H96*H97*7.480519/(H107*24*60),IF($D$8="y",((H99*$D$6*10^6)-(H100*$D$6*10^6))/(H107*24*60),""))),2)</f>
        <v>#VALUE!</v>
      </c>
      <c r="I109" s="11" t="e">
        <f>ROUND(IF(OR($D$7="c",$D$7="h"),(I99-I100)*PI()*((I96/2)^2)*7.480519/(I107*24*60),IF($D$7="r",(I99-I100)*I96*I97*7.480519/(I107*24*60),IF($D$8="y",((I99*$D$6*10^6)-(I100*$D$6*10^6))/(I107*24*60),""))),2)</f>
        <v>#VALUE!</v>
      </c>
      <c r="J109" s="95" t="s">
        <v>2</v>
      </c>
      <c r="K109" s="95"/>
      <c r="L109" s="8"/>
      <c r="M109" s="8"/>
      <c r="N109" s="8"/>
      <c r="O109" s="94"/>
    </row>
    <row r="110" spans="2:15" ht="26" x14ac:dyDescent="0.3">
      <c r="B110" s="92"/>
      <c r="C110" s="123" t="s">
        <v>288</v>
      </c>
      <c r="D110" s="11" t="e">
        <f>'Tank#9'!E70</f>
        <v>#DIV/0!</v>
      </c>
      <c r="E110" s="11" t="str">
        <f>IF(OR($D$7="c",$D$7="h"),(E99-E100)*PI()*((E96/2)^2)*7.480519/10^6,IF($D$7="r",(E99-E100)*E96*E97*7.480519/10^6,IF($D$8="y",((E99*$D$6*10^6)-(E100*$D$6*10^6))/10^6,"")))</f>
        <v/>
      </c>
      <c r="F110" s="11" t="str">
        <f>IF(OR($D$7="c",$D$7="h"),(F99-F100)*PI()*((F96/2)^2)*7.480519/10^6,IF($D$7="r",(F99-F100)*F96*F97*7.480519/10^6,IF($D$8="y",((F99*$D$6*10^6)-(F100*$D$6*10^6))/10^6,"")))</f>
        <v/>
      </c>
      <c r="G110" s="11" t="str">
        <f>IF(OR($D$7="c",$D$7="h"),(G99-G100)*PI()*((G96/2)^2)*7.480519/10^6,IF($D$7="r",(G99-G100)*G96*G97*7.480519/10^6,IF($D$8="y",((G99*$D$6*10^6)-(G100*$D$6*10^6))/10^6,"")))</f>
        <v/>
      </c>
      <c r="H110" s="11" t="str">
        <f>IF(OR($D$7="c",$D$7="h"),(H99-H100)*PI()*((H96/2)^2)*7.480519/10^6,IF($D$7="r",(H99-H100)*H96*H97*7.480519/10^6,IF($D$8="y",((H99*$D$6*10^6)-(H100*$D$6*10^6))/10^6,"")))</f>
        <v/>
      </c>
      <c r="I110" s="11" t="str">
        <f>IF(OR($D$7="c",$D$7="h"),(I99-I100)*PI()*((I96/2)^2)*7.480519/10^6,IF($D$7="r",(I99-I100)*I96*I97*7.480519/10^6,IF($D$8="y",((I99*$D$6*10^6)-(I100*$D$6*10^6))/10^6,"")))</f>
        <v/>
      </c>
      <c r="J110" s="95" t="s">
        <v>5</v>
      </c>
      <c r="K110" s="95"/>
      <c r="L110" s="8"/>
      <c r="M110" s="8"/>
      <c r="N110" s="8"/>
      <c r="O110" s="94"/>
    </row>
    <row r="111" spans="2:15" ht="13" x14ac:dyDescent="0.3">
      <c r="B111" s="92"/>
      <c r="C111" s="105" t="s">
        <v>52</v>
      </c>
      <c r="D111" s="11" t="e">
        <f>'Tank#9'!E76</f>
        <v>#DIV/0!</v>
      </c>
      <c r="E111" s="11" t="e">
        <f>E109+E108</f>
        <v>#VALUE!</v>
      </c>
      <c r="F111" s="11" t="e">
        <f>F109+F108</f>
        <v>#VALUE!</v>
      </c>
      <c r="G111" s="11" t="e">
        <f>G109+G108</f>
        <v>#VALUE!</v>
      </c>
      <c r="H111" s="11" t="e">
        <f>H109+H108</f>
        <v>#VALUE!</v>
      </c>
      <c r="I111" s="11" t="e">
        <f>I109+I108</f>
        <v>#VALUE!</v>
      </c>
      <c r="J111" s="95" t="s">
        <v>2</v>
      </c>
      <c r="K111" s="95"/>
      <c r="L111" s="8"/>
      <c r="M111" s="8"/>
      <c r="N111" s="8"/>
      <c r="O111" s="94"/>
    </row>
    <row r="112" spans="2:15" ht="13" x14ac:dyDescent="0.3">
      <c r="B112" s="92"/>
      <c r="C112" s="123" t="s">
        <v>289</v>
      </c>
      <c r="D112" s="11" t="e">
        <f>'Tank#9'!$E$77</f>
        <v>#DIV/0!</v>
      </c>
      <c r="E112" s="32" t="e">
        <f>E110/E111</f>
        <v>#VALUE!</v>
      </c>
      <c r="F112" s="32" t="e">
        <f>F110/F111</f>
        <v>#VALUE!</v>
      </c>
      <c r="G112" s="32" t="e">
        <f>G110/G111</f>
        <v>#VALUE!</v>
      </c>
      <c r="H112" s="32" t="e">
        <f>H110/H111</f>
        <v>#VALUE!</v>
      </c>
      <c r="I112" s="32" t="e">
        <f>I110/I111</f>
        <v>#VALUE!</v>
      </c>
      <c r="J112" s="95" t="s">
        <v>3</v>
      </c>
      <c r="K112" s="95"/>
      <c r="L112" s="8"/>
      <c r="M112" s="8"/>
      <c r="N112" s="8"/>
      <c r="O112" s="94"/>
    </row>
    <row r="113" spans="2:15" ht="13" x14ac:dyDescent="0.3">
      <c r="B113" s="92"/>
      <c r="C113" s="105" t="s">
        <v>44</v>
      </c>
      <c r="D113" s="11" t="e">
        <f>'Tank#9'!$E$78</f>
        <v>#DIV/0!</v>
      </c>
      <c r="E113" s="32" t="str">
        <f>IF(OR($D$7="c",$D$7="h"),((E99+E100)/2)*PI()*((E96/2)^2)*7.480519/10^6,IF($D$7="r",((E99+E100)/2)*E96*E97*7.480519/10^6,IF($D$8="y",(((E99*$D$6*10^6)+(E100*$D$6*10^6))/2)/10^6,"")))</f>
        <v/>
      </c>
      <c r="F113" s="32" t="str">
        <f>IF(OR($D$7="c",$D$7="h"),((F99+F100)/2)*PI()*((F96/2)^2)*7.480519/10^6,IF($D$7="r",((F99+F100)/2)*F96*F97*7.480519/10^6,IF($D$8="y",(((F99*$D$6*10^6)+(F100*$D$6*10^6))/2)/10^6,"")))</f>
        <v/>
      </c>
      <c r="G113" s="32" t="str">
        <f>IF(OR($D$7="c",$D$7="h"),((G99+G100)/2)*PI()*((G96/2)^2)*7.480519/10^6,IF($D$7="r",((G99+G100)/2)*G96*G97*7.480519/10^6,IF($D$8="y",(((G99*$D$6*10^6)+(G100*$D$6*10^6))/2)/10^6,"")))</f>
        <v/>
      </c>
      <c r="H113" s="32" t="str">
        <f>IF(OR($D$7="c",$D$7="h"),((H99+H100)/2)*PI()*((H96/2)^2)*7.480519/10^6,IF($D$7="r",((H99+H100)/2)*H96*H97*7.480519/10^6,IF($D$8="y",(((H99*$D$6*10^6)+(H100*$D$6*10^6))/2)/10^6,"")))</f>
        <v/>
      </c>
      <c r="I113" s="32" t="str">
        <f>IF(OR($D$7="c",$D$7="h"),((I99+I100)/2)*PI()*((I96/2)^2)*7.480519/10^6,IF($D$7="r",((I99+I100)/2)*I96*I97*7.480519/10^6,IF($D$8="y",(((I99*$D$6*10^6)+(I100*$D$6*10^6))/2)/10^6,"")))</f>
        <v/>
      </c>
      <c r="J113" s="95" t="s">
        <v>5</v>
      </c>
      <c r="K113" s="95"/>
      <c r="L113" s="8"/>
      <c r="M113" s="8"/>
      <c r="N113" s="8"/>
      <c r="O113" s="94"/>
    </row>
    <row r="114" spans="2:15" ht="26" x14ac:dyDescent="0.3">
      <c r="B114" s="92"/>
      <c r="C114" s="137" t="s">
        <v>57</v>
      </c>
      <c r="D114" s="138" t="e">
        <f>'Tank#9'!J75</f>
        <v>#DIV/0!</v>
      </c>
      <c r="E114" s="139" t="e">
        <f>E102/E104</f>
        <v>#VALUE!</v>
      </c>
      <c r="F114" s="139" t="e">
        <f>F102/F104</f>
        <v>#VALUE!</v>
      </c>
      <c r="G114" s="139" t="e">
        <f>G102/G104</f>
        <v>#VALUE!</v>
      </c>
      <c r="H114" s="139" t="e">
        <f>H102/H104</f>
        <v>#VALUE!</v>
      </c>
      <c r="I114" s="139" t="e">
        <f>I102/I104</f>
        <v>#VALUE!</v>
      </c>
      <c r="J114" s="95"/>
      <c r="K114" s="95"/>
      <c r="L114" s="8"/>
      <c r="M114" s="8"/>
      <c r="N114" s="8"/>
      <c r="O114" s="94"/>
    </row>
    <row r="115" spans="2:15" ht="13" x14ac:dyDescent="0.3">
      <c r="B115" s="92"/>
      <c r="C115" s="137" t="s">
        <v>8</v>
      </c>
      <c r="D115" s="140" t="e">
        <f>'Tank#9'!$E$79</f>
        <v>#DIV/0!</v>
      </c>
      <c r="E115" s="140" t="e">
        <f>E113/E112</f>
        <v>#VALUE!</v>
      </c>
      <c r="F115" s="140" t="e">
        <f>F113/F112</f>
        <v>#VALUE!</v>
      </c>
      <c r="G115" s="140" t="e">
        <f>G113/G112</f>
        <v>#VALUE!</v>
      </c>
      <c r="H115" s="140" t="e">
        <f>H113/H112</f>
        <v>#VALUE!</v>
      </c>
      <c r="I115" s="140" t="e">
        <f>I113/I112</f>
        <v>#VALUE!</v>
      </c>
      <c r="J115" s="95" t="s">
        <v>2</v>
      </c>
      <c r="K115" s="95"/>
      <c r="L115" s="8"/>
      <c r="M115" s="8"/>
      <c r="N115" s="8"/>
      <c r="O115" s="94"/>
    </row>
    <row r="116" spans="2:15" ht="13.5" thickBot="1" x14ac:dyDescent="0.35">
      <c r="B116" s="101"/>
      <c r="C116" s="102"/>
      <c r="D116" s="102"/>
      <c r="E116" s="102"/>
      <c r="F116" s="102"/>
      <c r="G116" s="106"/>
      <c r="H116" s="106"/>
      <c r="I116" s="107"/>
      <c r="J116" s="102"/>
      <c r="K116" s="102"/>
      <c r="L116" s="102"/>
      <c r="M116" s="102"/>
      <c r="N116" s="102"/>
      <c r="O116" s="103"/>
    </row>
    <row r="117" spans="2:15" ht="18.5" hidden="1" thickBot="1" x14ac:dyDescent="0.45">
      <c r="B117" s="116" t="s">
        <v>191</v>
      </c>
      <c r="C117" s="111"/>
      <c r="D117" s="120"/>
      <c r="E117" s="111"/>
      <c r="F117" s="111"/>
      <c r="G117" s="111"/>
      <c r="H117" s="111"/>
      <c r="I117" s="111"/>
      <c r="J117" s="111"/>
      <c r="K117" s="111"/>
      <c r="L117" s="118"/>
      <c r="M117" s="118"/>
      <c r="N117" s="118"/>
      <c r="O117" s="119"/>
    </row>
    <row r="118" spans="2:15" hidden="1" x14ac:dyDescent="0.25">
      <c r="B118" s="149"/>
      <c r="C118" s="104"/>
      <c r="D118" s="104"/>
      <c r="E118" s="104"/>
      <c r="F118" s="104"/>
      <c r="G118" s="104"/>
      <c r="H118" s="104"/>
      <c r="I118" s="104"/>
      <c r="J118" s="104"/>
      <c r="K118" s="104"/>
      <c r="L118" s="90"/>
      <c r="M118" s="90"/>
      <c r="N118" s="90"/>
      <c r="O118" s="91"/>
    </row>
    <row r="119" spans="2:15" ht="13" hidden="1" x14ac:dyDescent="0.3">
      <c r="B119" s="92"/>
      <c r="C119" s="95" t="s">
        <v>86</v>
      </c>
      <c r="D119" s="29"/>
      <c r="E119" s="29"/>
      <c r="F119" s="29"/>
      <c r="G119" s="29"/>
      <c r="H119" s="29"/>
      <c r="I119" s="29"/>
      <c r="J119" s="29"/>
      <c r="K119" s="29"/>
      <c r="L119" s="8"/>
      <c r="M119" s="8"/>
      <c r="N119" s="8"/>
      <c r="O119" s="94"/>
    </row>
    <row r="120" spans="2:15" ht="13" hidden="1" x14ac:dyDescent="0.3">
      <c r="B120" s="92"/>
      <c r="C120" s="95" t="s">
        <v>88</v>
      </c>
      <c r="D120" s="29"/>
      <c r="E120" s="29"/>
      <c r="F120" s="29"/>
      <c r="G120" s="29"/>
      <c r="H120" s="29"/>
      <c r="I120" s="29"/>
      <c r="J120" s="29"/>
      <c r="K120" s="29"/>
      <c r="L120" s="8"/>
      <c r="M120" s="8"/>
      <c r="N120" s="8"/>
      <c r="O120" s="94"/>
    </row>
    <row r="121" spans="2:15" ht="13" hidden="1" x14ac:dyDescent="0.3">
      <c r="B121" s="92"/>
      <c r="C121" s="95" t="s">
        <v>89</v>
      </c>
      <c r="D121" s="29"/>
      <c r="E121" s="29"/>
      <c r="F121" s="29"/>
      <c r="G121" s="29"/>
      <c r="H121" s="29"/>
      <c r="I121" s="29"/>
      <c r="J121" s="29"/>
      <c r="K121" s="29"/>
      <c r="L121" s="8"/>
      <c r="M121" s="8"/>
      <c r="N121" s="8"/>
      <c r="O121" s="94"/>
    </row>
    <row r="122" spans="2:15" ht="13" hidden="1" x14ac:dyDescent="0.3">
      <c r="B122" s="92"/>
      <c r="C122" s="95" t="s">
        <v>90</v>
      </c>
      <c r="D122" s="29"/>
      <c r="E122" s="29"/>
      <c r="F122" s="29"/>
      <c r="G122" s="29"/>
      <c r="H122" s="29"/>
      <c r="I122" s="29"/>
      <c r="J122" s="29"/>
      <c r="K122" s="29"/>
      <c r="L122" s="8"/>
      <c r="M122" s="8"/>
      <c r="N122" s="8"/>
      <c r="O122" s="94"/>
    </row>
    <row r="123" spans="2:15" ht="13" hidden="1" x14ac:dyDescent="0.3">
      <c r="B123" s="92"/>
      <c r="C123" s="113"/>
      <c r="D123" s="29"/>
      <c r="E123" s="29"/>
      <c r="F123" s="29"/>
      <c r="G123" s="29"/>
      <c r="H123" s="29"/>
      <c r="I123" s="29"/>
      <c r="J123" s="29"/>
      <c r="K123" s="29"/>
      <c r="L123" s="8"/>
      <c r="M123" s="8"/>
      <c r="N123" s="8"/>
      <c r="O123" s="94"/>
    </row>
    <row r="124" spans="2:15" ht="39" hidden="1" x14ac:dyDescent="0.3">
      <c r="B124" s="92"/>
      <c r="C124" s="29"/>
      <c r="D124" s="133" t="s">
        <v>79</v>
      </c>
      <c r="E124" s="81" t="s">
        <v>45</v>
      </c>
      <c r="F124" s="81" t="s">
        <v>46</v>
      </c>
      <c r="G124" s="81" t="s">
        <v>47</v>
      </c>
      <c r="H124" s="81" t="s">
        <v>48</v>
      </c>
      <c r="I124" s="81" t="s">
        <v>49</v>
      </c>
      <c r="J124" s="29"/>
      <c r="K124" s="29"/>
      <c r="L124" s="8"/>
      <c r="M124" s="8"/>
      <c r="N124" s="8"/>
      <c r="O124" s="94"/>
    </row>
    <row r="125" spans="2:15" ht="13" hidden="1" x14ac:dyDescent="0.3">
      <c r="B125" s="92"/>
      <c r="C125" s="123" t="str">
        <f>IF(D49="y","Fraction Full (Max Level)","High/Max Level")</f>
        <v>High/Max Level</v>
      </c>
      <c r="D125" s="132" t="b">
        <f>IF(OR($D$7="c",$D$7="r",D7="h"),(SUM(E53:E67)/COUNTIF(E53:E67,"&gt;0")),IF($D$8="y",(SUM(E53:E67)/COUNTIF(E53:E67,"&gt;0"))/($D$6*10^6)))</f>
        <v>0</v>
      </c>
      <c r="E125" s="135">
        <f t="shared" ref="E125:I126" si="11">E99</f>
        <v>0</v>
      </c>
      <c r="F125" s="135">
        <f t="shared" si="11"/>
        <v>0</v>
      </c>
      <c r="G125" s="135">
        <f t="shared" si="11"/>
        <v>0</v>
      </c>
      <c r="H125" s="135">
        <f t="shared" si="11"/>
        <v>0</v>
      </c>
      <c r="I125" s="135">
        <f t="shared" si="11"/>
        <v>0</v>
      </c>
      <c r="J125" s="95" t="str">
        <f>IF(D49="y","","ft")</f>
        <v>ft</v>
      </c>
      <c r="K125" s="95"/>
      <c r="L125" s="8"/>
      <c r="M125" s="8"/>
      <c r="N125" s="8"/>
      <c r="O125" s="94"/>
    </row>
    <row r="126" spans="2:15" ht="13" hidden="1" x14ac:dyDescent="0.3">
      <c r="B126" s="92"/>
      <c r="C126" s="123" t="str">
        <f>IF(D49="y","Fraction Full (Min Level)","Low/Min Level")</f>
        <v>Low/Min Level</v>
      </c>
      <c r="D126" s="132" t="b">
        <f>IF(OR($D$7="c",$D$7="r",D7="h"),(SUM(D53:D67)/COUNTIF(D53:D67,"&gt;0")),IF($D$8="y",(SUM(D53:D67)/COUNTIF(D53:D67,"&gt;0"))/($D$6*10^6)))</f>
        <v>0</v>
      </c>
      <c r="E126" s="135">
        <f t="shared" si="11"/>
        <v>0</v>
      </c>
      <c r="F126" s="135">
        <f t="shared" si="11"/>
        <v>0</v>
      </c>
      <c r="G126" s="135">
        <f t="shared" si="11"/>
        <v>0</v>
      </c>
      <c r="H126" s="135">
        <f t="shared" si="11"/>
        <v>0</v>
      </c>
      <c r="I126" s="135">
        <f t="shared" si="11"/>
        <v>0</v>
      </c>
      <c r="J126" s="95" t="str">
        <f>IF(D49="y","","ft")</f>
        <v>ft</v>
      </c>
      <c r="K126" s="95"/>
      <c r="L126" s="8"/>
      <c r="M126" s="8"/>
      <c r="N126" s="8"/>
      <c r="O126" s="94"/>
    </row>
    <row r="127" spans="2:15" ht="24.75" hidden="1" customHeight="1" x14ac:dyDescent="0.3">
      <c r="B127" s="92"/>
      <c r="C127" s="137" t="s">
        <v>87</v>
      </c>
      <c r="D127" s="141" t="e">
        <f>D114</f>
        <v>#DIV/0!</v>
      </c>
      <c r="E127" s="141" t="e">
        <f t="shared" ref="E127:I128" si="12">E114</f>
        <v>#VALUE!</v>
      </c>
      <c r="F127" s="141" t="e">
        <f t="shared" si="12"/>
        <v>#VALUE!</v>
      </c>
      <c r="G127" s="141" t="e">
        <f t="shared" si="12"/>
        <v>#VALUE!</v>
      </c>
      <c r="H127" s="141" t="e">
        <f t="shared" si="12"/>
        <v>#VALUE!</v>
      </c>
      <c r="I127" s="141" t="e">
        <f t="shared" si="12"/>
        <v>#VALUE!</v>
      </c>
      <c r="J127" s="95"/>
      <c r="K127" s="95"/>
      <c r="L127" s="8"/>
      <c r="M127" s="8"/>
      <c r="N127" s="8"/>
      <c r="O127" s="94"/>
    </row>
    <row r="128" spans="2:15" ht="13" hidden="1" x14ac:dyDescent="0.3">
      <c r="B128" s="92"/>
      <c r="C128" s="137" t="s">
        <v>8</v>
      </c>
      <c r="D128" s="142" t="e">
        <f>D115</f>
        <v>#DIV/0!</v>
      </c>
      <c r="E128" s="140" t="e">
        <f t="shared" si="12"/>
        <v>#VALUE!</v>
      </c>
      <c r="F128" s="140" t="e">
        <f t="shared" si="12"/>
        <v>#VALUE!</v>
      </c>
      <c r="G128" s="140" t="e">
        <f t="shared" si="12"/>
        <v>#VALUE!</v>
      </c>
      <c r="H128" s="140" t="e">
        <f t="shared" si="12"/>
        <v>#VALUE!</v>
      </c>
      <c r="I128" s="140" t="e">
        <f t="shared" si="12"/>
        <v>#VALUE!</v>
      </c>
      <c r="J128" s="95" t="s">
        <v>2</v>
      </c>
      <c r="K128" s="95"/>
      <c r="L128" s="8"/>
      <c r="M128" s="8"/>
      <c r="N128" s="8"/>
      <c r="O128" s="94"/>
    </row>
    <row r="129" spans="2:15" ht="39" hidden="1" x14ac:dyDescent="0.3">
      <c r="B129" s="92"/>
      <c r="C129" s="161" t="s">
        <v>84</v>
      </c>
      <c r="D129" s="146">
        <v>0.14929999999999999</v>
      </c>
      <c r="E129" s="162">
        <f>D129</f>
        <v>0.14929999999999999</v>
      </c>
      <c r="F129" s="162">
        <f>D129</f>
        <v>0.14929999999999999</v>
      </c>
      <c r="G129" s="162">
        <f>D129</f>
        <v>0.14929999999999999</v>
      </c>
      <c r="H129" s="162">
        <f>D129</f>
        <v>0.14929999999999999</v>
      </c>
      <c r="I129" s="162">
        <f>D129</f>
        <v>0.14929999999999999</v>
      </c>
      <c r="J129" s="95" t="s">
        <v>76</v>
      </c>
      <c r="K129" s="95"/>
      <c r="L129" s="8"/>
      <c r="M129" s="8"/>
      <c r="N129" s="8"/>
      <c r="O129" s="94"/>
    </row>
    <row r="130" spans="2:15" ht="26" hidden="1" x14ac:dyDescent="0.3">
      <c r="B130" s="92"/>
      <c r="C130" s="123" t="s">
        <v>80</v>
      </c>
      <c r="D130" s="124" t="e">
        <f>SUM(F53:F67)/COUNTIF(F53:F67,"&gt;0")</f>
        <v>#DIV/0!</v>
      </c>
      <c r="E130" s="124" t="str">
        <f>IF(OR($D$7="c",$D$7="h"),(E100)*PI()*($D$10/2)^2*7.48/10^6,IF($D$7="r",E100*$D$10*$D$11*7.48/10^6,IF($D$8="y",E100/10^6,"error")))</f>
        <v>error</v>
      </c>
      <c r="F130" s="124" t="str">
        <f>IF(OR($D$7="c",$D$7="h"),(F100)*PI()*($D$10/2)^2*7.48/10^6,IF($D$7="r",F100*$D$10*$D$11*7.48/10^6,IF($D$8="y",F100/10^6,"error")))</f>
        <v>error</v>
      </c>
      <c r="G130" s="124" t="str">
        <f>IF(OR($D$7="c",$D$7="h"),(G100)*PI()*($D$10/2)^2*7.48/10^6,IF($D$7="r",G100*$D$10*$D$11*7.48/10^6,IF($D$8="y",G100/10^6,"error")))</f>
        <v>error</v>
      </c>
      <c r="H130" s="124" t="str">
        <f>IF(OR($D$7="c",$D$7="h"),(H100)*PI()*($D$10/2)^2*7.48/10^6,IF($D$7="r",H100*$D$10*$D$11*7.48/10^6,IF($D$8="y",H100/10^6,"error")))</f>
        <v>error</v>
      </c>
      <c r="I130" s="124" t="str">
        <f>IF(OR($D$7="c",$D$7="h"),(I100)*PI()*($D$10/2)^2*7.48/10^6,IF($D$7="r",I100*$D$10*$D$11*7.48/10^6,IF($D$8="y",I100/10^6,"error")))</f>
        <v>error</v>
      </c>
      <c r="J130" s="95" t="s">
        <v>5</v>
      </c>
      <c r="K130" s="95"/>
      <c r="L130" s="8"/>
      <c r="M130" s="8"/>
      <c r="N130" s="8"/>
      <c r="O130" s="94"/>
    </row>
    <row r="131" spans="2:15" ht="39" hidden="1" x14ac:dyDescent="0.3">
      <c r="B131" s="92"/>
      <c r="C131" s="125" t="s">
        <v>81</v>
      </c>
      <c r="D131" s="124" t="e">
        <f>SUM(F53:F67)/COUNTIF(F53:F67,"&gt;0")+SUM(G53:G67)/COUNTIF(G53:G67,"&gt;0")</f>
        <v>#DIV/0!</v>
      </c>
      <c r="E131" s="11" t="str">
        <f>IF(OR($D$7="c",$D$7="h"),(E99)*PI()*($D$10/2)^2*7.48/10^6,IF($D$7="r",E99*$D$10*$D$11*7.48/10^6,IF($D$8="y",E99/10^6,"error")))</f>
        <v>error</v>
      </c>
      <c r="F131" s="11" t="str">
        <f>IF(OR($D$7="c",$D$7="h"),(F99)*PI()*($D$10/2)^2*7.48/10^6,IF($D$7="r",F99*$D$10*$D$11*7.48/10^6,IF($D$8="y",F99/10^6,"error")))</f>
        <v>error</v>
      </c>
      <c r="G131" s="11" t="str">
        <f>IF(OR($D$7="c",$D$7="h"),(G99)*PI()*($D$10/2)^2*7.48/10^6,IF($D$7="r",G99*$D$10*$D$11*7.48/10^6,IF($D$8="y",G99/10^6,"error")))</f>
        <v>error</v>
      </c>
      <c r="H131" s="11" t="str">
        <f>IF(OR($D$7="c",$D$7="h"),(H99)*PI()*($D$10/2)^2*7.48/10^6,IF($D$7="r",H99*$D$10*$D$11*7.48/10^6,IF($D$8="y",H99/10^6,"error")))</f>
        <v>error</v>
      </c>
      <c r="I131" s="11" t="str">
        <f>IF(OR($D$7="c",$D$7="h"),(I99)*PI()*($D$10/2)^2*7.48/10^6,IF($D$7="r",I99*$D$10*$D$11*7.48/10^6,IF($D$8="y",I99/10^6,"error")))</f>
        <v>error</v>
      </c>
      <c r="J131" s="95" t="s">
        <v>5</v>
      </c>
      <c r="K131" s="95"/>
      <c r="L131" s="8"/>
      <c r="M131" s="8"/>
      <c r="N131" s="8"/>
      <c r="O131" s="94"/>
    </row>
    <row r="132" spans="2:15" ht="13" hidden="1" x14ac:dyDescent="0.3">
      <c r="B132" s="92"/>
      <c r="C132" s="123" t="s">
        <v>83</v>
      </c>
      <c r="D132" s="124" t="e">
        <f t="shared" ref="D132:I133" si="13">D108</f>
        <v>#DIV/0!</v>
      </c>
      <c r="E132" s="124" t="e">
        <f t="shared" si="13"/>
        <v>#VALUE!</v>
      </c>
      <c r="F132" s="124" t="e">
        <f t="shared" si="13"/>
        <v>#VALUE!</v>
      </c>
      <c r="G132" s="124" t="e">
        <f t="shared" si="13"/>
        <v>#VALUE!</v>
      </c>
      <c r="H132" s="124" t="e">
        <f t="shared" si="13"/>
        <v>#VALUE!</v>
      </c>
      <c r="I132" s="124" t="e">
        <f t="shared" si="13"/>
        <v>#VALUE!</v>
      </c>
      <c r="J132" s="95" t="s">
        <v>2</v>
      </c>
      <c r="K132" s="95"/>
      <c r="L132" s="8"/>
      <c r="M132" s="8"/>
      <c r="N132" s="8"/>
      <c r="O132" s="94"/>
    </row>
    <row r="133" spans="2:15" ht="13" hidden="1" x14ac:dyDescent="0.3">
      <c r="B133" s="92"/>
      <c r="C133" s="123" t="s">
        <v>82</v>
      </c>
      <c r="D133" s="132" t="e">
        <f t="shared" si="13"/>
        <v>#DIV/0!</v>
      </c>
      <c r="E133" s="132" t="e">
        <f t="shared" si="13"/>
        <v>#VALUE!</v>
      </c>
      <c r="F133" s="132" t="e">
        <f t="shared" si="13"/>
        <v>#VALUE!</v>
      </c>
      <c r="G133" s="132" t="e">
        <f t="shared" si="13"/>
        <v>#VALUE!</v>
      </c>
      <c r="H133" s="132" t="e">
        <f t="shared" si="13"/>
        <v>#VALUE!</v>
      </c>
      <c r="I133" s="132" t="e">
        <f t="shared" si="13"/>
        <v>#VALUE!</v>
      </c>
      <c r="J133" s="95" t="s">
        <v>2</v>
      </c>
      <c r="K133" s="95"/>
      <c r="L133" s="8"/>
      <c r="M133" s="8"/>
      <c r="N133" s="8"/>
      <c r="O133" s="94"/>
    </row>
    <row r="134" spans="2:15" ht="39" hidden="1" x14ac:dyDescent="0.3">
      <c r="B134" s="92"/>
      <c r="C134" s="123" t="s">
        <v>91</v>
      </c>
      <c r="D134" s="144" t="e">
        <f t="shared" ref="D134:I134" si="14">(D130/(D131-D130))*(D133+D132)+D133+D132*(1-((D130/(D131-D130))-ROUNDDOWN((D130/(D131-D130)),0)))</f>
        <v>#DIV/0!</v>
      </c>
      <c r="E134" s="144" t="e">
        <f t="shared" si="14"/>
        <v>#VALUE!</v>
      </c>
      <c r="F134" s="144" t="e">
        <f t="shared" si="14"/>
        <v>#VALUE!</v>
      </c>
      <c r="G134" s="144" t="e">
        <f t="shared" si="14"/>
        <v>#VALUE!</v>
      </c>
      <c r="H134" s="144" t="e">
        <f t="shared" si="14"/>
        <v>#VALUE!</v>
      </c>
      <c r="I134" s="144" t="e">
        <f t="shared" si="14"/>
        <v>#VALUE!</v>
      </c>
      <c r="J134" s="95" t="s">
        <v>2</v>
      </c>
      <c r="K134" s="95"/>
      <c r="L134" s="8"/>
      <c r="M134" s="8"/>
      <c r="N134" s="8"/>
      <c r="O134" s="94"/>
    </row>
    <row r="135" spans="2:15" ht="40.5" hidden="1" customHeight="1" x14ac:dyDescent="0.3">
      <c r="B135" s="92"/>
      <c r="C135" s="161" t="s">
        <v>85</v>
      </c>
      <c r="D135" s="146">
        <v>1.57</v>
      </c>
      <c r="E135" s="163">
        <f>D135</f>
        <v>1.57</v>
      </c>
      <c r="F135" s="163">
        <f>D135</f>
        <v>1.57</v>
      </c>
      <c r="G135" s="163">
        <f>D135</f>
        <v>1.57</v>
      </c>
      <c r="H135" s="163">
        <f>D135</f>
        <v>1.57</v>
      </c>
      <c r="I135" s="163">
        <f>D135</f>
        <v>1.57</v>
      </c>
      <c r="J135" s="95" t="s">
        <v>78</v>
      </c>
      <c r="K135" s="95"/>
      <c r="L135" s="8"/>
      <c r="M135" s="8"/>
      <c r="N135" s="8"/>
      <c r="O135" s="94"/>
    </row>
    <row r="136" spans="2:15" ht="41" hidden="1" x14ac:dyDescent="0.3">
      <c r="B136" s="92"/>
      <c r="C136" s="143" t="s">
        <v>109</v>
      </c>
      <c r="D136" s="145" t="e">
        <f t="shared" ref="D136:I136" si="15">((EXP(-D129*D133)-EXP(-D129*(D132+D133)))*D135)/(D129*D132*(1+(D130/(D131-D130))*(1-EXP(-D129*(D132+D133)))))</f>
        <v>#DIV/0!</v>
      </c>
      <c r="E136" s="145" t="e">
        <f t="shared" si="15"/>
        <v>#VALUE!</v>
      </c>
      <c r="F136" s="145" t="e">
        <f t="shared" si="15"/>
        <v>#VALUE!</v>
      </c>
      <c r="G136" s="145" t="e">
        <f t="shared" si="15"/>
        <v>#VALUE!</v>
      </c>
      <c r="H136" s="145" t="e">
        <f t="shared" si="15"/>
        <v>#VALUE!</v>
      </c>
      <c r="I136" s="145" t="e">
        <f t="shared" si="15"/>
        <v>#VALUE!</v>
      </c>
      <c r="J136" s="95" t="s">
        <v>78</v>
      </c>
      <c r="K136" s="95"/>
      <c r="L136" s="8"/>
      <c r="M136" s="8"/>
      <c r="N136" s="8"/>
      <c r="O136" s="94"/>
    </row>
    <row r="137" spans="2:15" ht="41" hidden="1" x14ac:dyDescent="0.3">
      <c r="B137" s="92"/>
      <c r="C137" s="143" t="s">
        <v>108</v>
      </c>
      <c r="D137" s="145" t="e">
        <f t="shared" ref="D137:I137" si="16">D135*EXP(-D129*D134)</f>
        <v>#DIV/0!</v>
      </c>
      <c r="E137" s="145" t="e">
        <f t="shared" si="16"/>
        <v>#VALUE!</v>
      </c>
      <c r="F137" s="145" t="e">
        <f t="shared" si="16"/>
        <v>#VALUE!</v>
      </c>
      <c r="G137" s="145" t="e">
        <f t="shared" si="16"/>
        <v>#VALUE!</v>
      </c>
      <c r="H137" s="145" t="e">
        <f t="shared" si="16"/>
        <v>#VALUE!</v>
      </c>
      <c r="I137" s="145" t="e">
        <f t="shared" si="16"/>
        <v>#VALUE!</v>
      </c>
      <c r="J137" s="95" t="s">
        <v>78</v>
      </c>
      <c r="K137" s="95"/>
      <c r="L137" s="8"/>
      <c r="M137" s="8"/>
      <c r="N137" s="8"/>
      <c r="O137" s="94"/>
    </row>
    <row r="138" spans="2:15" hidden="1" x14ac:dyDescent="0.25">
      <c r="B138" s="92"/>
      <c r="C138" s="8" t="s">
        <v>110</v>
      </c>
      <c r="D138" s="8"/>
      <c r="E138" s="8"/>
      <c r="F138" s="8"/>
      <c r="G138" s="8"/>
      <c r="H138" s="8"/>
      <c r="I138" s="8"/>
      <c r="J138" s="8"/>
      <c r="K138" s="8"/>
      <c r="L138" s="8"/>
      <c r="M138" s="8"/>
      <c r="N138" s="8"/>
      <c r="O138" s="94"/>
    </row>
    <row r="139" spans="2:15" hidden="1" x14ac:dyDescent="0.25">
      <c r="B139" s="92"/>
      <c r="C139" s="424" t="s">
        <v>228</v>
      </c>
      <c r="D139" s="422"/>
      <c r="E139" s="422"/>
      <c r="F139" s="422"/>
      <c r="G139" s="422"/>
      <c r="H139" s="422"/>
      <c r="I139" s="422"/>
      <c r="J139" s="8"/>
      <c r="K139" s="8"/>
      <c r="L139" s="8"/>
      <c r="M139" s="8"/>
      <c r="N139" s="8"/>
      <c r="O139" s="94"/>
    </row>
    <row r="140" spans="2:15" hidden="1" x14ac:dyDescent="0.25">
      <c r="B140" s="92"/>
      <c r="C140" s="424" t="s">
        <v>229</v>
      </c>
      <c r="D140" s="422"/>
      <c r="E140" s="422"/>
      <c r="F140" s="422"/>
      <c r="G140" s="422"/>
      <c r="H140" s="422"/>
      <c r="I140" s="422"/>
      <c r="J140" s="8"/>
      <c r="K140" s="8"/>
      <c r="L140" s="8"/>
      <c r="M140" s="8"/>
      <c r="N140" s="8"/>
      <c r="O140" s="94"/>
    </row>
    <row r="141" spans="2:15" hidden="1" x14ac:dyDescent="0.25">
      <c r="B141" s="92"/>
      <c r="C141" s="424" t="s">
        <v>230</v>
      </c>
      <c r="D141" s="422"/>
      <c r="E141" s="422"/>
      <c r="F141" s="422"/>
      <c r="G141" s="422"/>
      <c r="H141" s="422"/>
      <c r="I141" s="422"/>
      <c r="J141" s="8"/>
      <c r="K141" s="8"/>
      <c r="L141" s="8"/>
      <c r="M141" s="8"/>
      <c r="N141" s="8"/>
      <c r="O141" s="94"/>
    </row>
    <row r="142" spans="2:15" hidden="1" x14ac:dyDescent="0.25">
      <c r="B142" s="92"/>
      <c r="C142" s="422" t="s">
        <v>231</v>
      </c>
      <c r="D142" s="422"/>
      <c r="E142" s="422"/>
      <c r="F142" s="422"/>
      <c r="G142" s="422"/>
      <c r="H142" s="422"/>
      <c r="I142" s="422"/>
      <c r="J142" s="8"/>
      <c r="K142" s="8"/>
      <c r="L142" s="8"/>
      <c r="M142" s="8"/>
      <c r="N142" s="8"/>
      <c r="O142" s="94"/>
    </row>
    <row r="143" spans="2:15" ht="26.25" hidden="1" customHeight="1" thickBot="1" x14ac:dyDescent="0.3">
      <c r="B143" s="101"/>
      <c r="C143" s="423"/>
      <c r="D143" s="423"/>
      <c r="E143" s="423"/>
      <c r="F143" s="423"/>
      <c r="G143" s="423"/>
      <c r="H143" s="423"/>
      <c r="I143" s="423"/>
      <c r="J143" s="102"/>
      <c r="K143" s="102"/>
      <c r="L143" s="102"/>
      <c r="M143" s="102"/>
      <c r="N143" s="102"/>
      <c r="O143" s="103"/>
    </row>
  </sheetData>
  <mergeCells count="4">
    <mergeCell ref="E11:F12"/>
    <mergeCell ref="H74:I74"/>
    <mergeCell ref="I77:L80"/>
    <mergeCell ref="D80:F83"/>
  </mergeCells>
  <conditionalFormatting sqref="D114:I114">
    <cfRule type="cellIs" dxfId="7" priority="7" stopIfTrue="1" operator="greaterThanOrEqual">
      <formula>1</formula>
    </cfRule>
    <cfRule type="cellIs" dxfId="6" priority="8" stopIfTrue="1" operator="lessThan">
      <formula>1</formula>
    </cfRule>
  </conditionalFormatting>
  <conditionalFormatting sqref="D115:I115">
    <cfRule type="cellIs" dxfId="5" priority="5" stopIfTrue="1" operator="greaterThan">
      <formula>5</formula>
    </cfRule>
    <cfRule type="cellIs" dxfId="4" priority="6" stopIfTrue="1" operator="lessThanOrEqual">
      <formula>5</formula>
    </cfRule>
  </conditionalFormatting>
  <conditionalFormatting sqref="E79">
    <cfRule type="cellIs" dxfId="3" priority="3" stopIfTrue="1" operator="lessThanOrEqual">
      <formula>5</formula>
    </cfRule>
    <cfRule type="cellIs" dxfId="2" priority="4" stopIfTrue="1" operator="greaterThan">
      <formula>5</formula>
    </cfRule>
  </conditionalFormatting>
  <conditionalFormatting sqref="J75">
    <cfRule type="cellIs" dxfId="1" priority="1" stopIfTrue="1" operator="greaterThanOrEqual">
      <formula>1</formula>
    </cfRule>
    <cfRule type="cellIs" dxfId="0" priority="2" stopIfTrue="1" operator="lessThan">
      <formula>1</formula>
    </cfRule>
  </conditionalFormatting>
  <pageMargins left="0.75" right="0.75" top="1" bottom="1" header="0.5" footer="0.5"/>
  <pageSetup scale="63" fitToHeight="4" orientation="landscape" r:id="rId1"/>
  <headerFooter alignWithMargins="0"/>
  <rowBreaks count="2" manualBreakCount="2">
    <brk id="48" max="16383" man="1"/>
    <brk id="84" max="16383"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CX161"/>
  <sheetViews>
    <sheetView topLeftCell="A25" zoomScale="90" zoomScaleNormal="90" workbookViewId="0">
      <selection activeCell="B2" sqref="B2"/>
    </sheetView>
  </sheetViews>
  <sheetFormatPr defaultColWidth="9.1796875" defaultRowHeight="12.5" x14ac:dyDescent="0.25"/>
  <cols>
    <col min="1" max="1" width="1.1796875" style="171" customWidth="1"/>
    <col min="2" max="2" width="2.1796875" style="171" customWidth="1"/>
    <col min="3" max="3" width="8" style="171" customWidth="1"/>
    <col min="4" max="4" width="11.1796875" style="171" customWidth="1"/>
    <col min="5" max="6" width="9.1796875" style="171" customWidth="1"/>
    <col min="7" max="7" width="10.1796875" style="171" customWidth="1"/>
    <col min="8" max="8" width="11" style="171" customWidth="1"/>
    <col min="9" max="16" width="9.1796875" style="171" customWidth="1"/>
    <col min="17" max="18" width="10.1796875" style="171" customWidth="1"/>
    <col min="19" max="19" width="9.81640625" style="171" customWidth="1"/>
    <col min="20" max="20" width="9.1796875" style="171"/>
    <col min="21" max="102" width="9.1796875" style="173"/>
    <col min="103" max="16384" width="9.1796875" style="171"/>
  </cols>
  <sheetData>
    <row r="1" spans="1:102" ht="6" customHeight="1" thickBot="1" x14ac:dyDescent="0.4">
      <c r="B1" s="169"/>
      <c r="C1" s="170"/>
      <c r="D1" s="170"/>
      <c r="E1" s="170"/>
      <c r="F1" s="170"/>
      <c r="G1" s="170"/>
      <c r="H1" s="170"/>
      <c r="I1" s="170"/>
      <c r="J1" s="170"/>
      <c r="K1" s="170"/>
      <c r="S1" s="172"/>
      <c r="T1" s="173"/>
    </row>
    <row r="2" spans="1:102" s="184" customFormat="1" ht="16" thickBot="1" x14ac:dyDescent="0.4">
      <c r="A2" s="187"/>
      <c r="B2" s="449" t="s">
        <v>133</v>
      </c>
      <c r="C2" s="450"/>
      <c r="D2" s="450"/>
      <c r="E2" s="450"/>
      <c r="F2" s="450"/>
      <c r="G2" s="450"/>
      <c r="H2" s="450"/>
      <c r="I2" s="450"/>
      <c r="J2" s="450"/>
      <c r="K2" s="450"/>
      <c r="L2" s="450"/>
      <c r="M2" s="450"/>
      <c r="N2" s="450"/>
      <c r="O2" s="450"/>
      <c r="P2" s="450"/>
      <c r="Q2" s="450"/>
      <c r="R2" s="450"/>
      <c r="S2" s="451"/>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c r="BX2" s="173"/>
      <c r="BY2" s="173"/>
      <c r="BZ2" s="173"/>
      <c r="CA2" s="173"/>
      <c r="CB2" s="173"/>
      <c r="CC2" s="173"/>
      <c r="CD2" s="173"/>
      <c r="CE2" s="173"/>
      <c r="CF2" s="173"/>
      <c r="CG2" s="173"/>
      <c r="CH2" s="173"/>
      <c r="CI2" s="173"/>
      <c r="CJ2" s="173"/>
      <c r="CK2" s="173"/>
      <c r="CL2" s="173"/>
      <c r="CM2" s="173"/>
      <c r="CN2" s="173"/>
      <c r="CO2" s="173"/>
      <c r="CP2" s="173"/>
      <c r="CQ2" s="173"/>
      <c r="CR2" s="173"/>
      <c r="CS2" s="173"/>
      <c r="CT2" s="173"/>
      <c r="CU2" s="173"/>
      <c r="CV2" s="173"/>
      <c r="CW2" s="173"/>
      <c r="CX2" s="173"/>
    </row>
    <row r="3" spans="1:102" s="173" customFormat="1" x14ac:dyDescent="0.25">
      <c r="B3" s="462" t="s">
        <v>260</v>
      </c>
      <c r="C3" s="460"/>
      <c r="D3" s="460"/>
      <c r="E3" s="460"/>
      <c r="F3" s="460"/>
      <c r="G3" s="460"/>
      <c r="H3" s="460"/>
      <c r="I3" s="460"/>
      <c r="J3" s="460"/>
      <c r="K3" s="460"/>
      <c r="L3" s="460"/>
      <c r="M3" s="460"/>
      <c r="N3" s="460"/>
      <c r="O3" s="460"/>
      <c r="P3" s="460"/>
      <c r="Q3" s="460"/>
      <c r="R3" s="460"/>
      <c r="S3" s="461"/>
    </row>
    <row r="4" spans="1:102" s="173" customFormat="1" x14ac:dyDescent="0.25">
      <c r="B4" s="454" t="s">
        <v>261</v>
      </c>
      <c r="C4" s="455"/>
      <c r="D4" s="455"/>
      <c r="E4" s="455"/>
      <c r="F4" s="455"/>
      <c r="G4" s="455"/>
      <c r="H4" s="455"/>
      <c r="I4" s="455"/>
      <c r="J4" s="455"/>
      <c r="K4" s="455"/>
      <c r="L4" s="455"/>
      <c r="M4" s="455"/>
      <c r="N4" s="455"/>
      <c r="O4" s="455"/>
      <c r="P4" s="455"/>
      <c r="Q4" s="455"/>
      <c r="R4" s="455"/>
      <c r="S4" s="456"/>
    </row>
    <row r="5" spans="1:102" s="173" customFormat="1" x14ac:dyDescent="0.25">
      <c r="B5" s="454" t="s">
        <v>138</v>
      </c>
      <c r="C5" s="455"/>
      <c r="D5" s="455"/>
      <c r="E5" s="455"/>
      <c r="F5" s="455"/>
      <c r="G5" s="455"/>
      <c r="H5" s="455"/>
      <c r="I5" s="455"/>
      <c r="J5" s="455"/>
      <c r="K5" s="455"/>
      <c r="L5" s="455"/>
      <c r="M5" s="455"/>
      <c r="N5" s="455"/>
      <c r="O5" s="455"/>
      <c r="P5" s="455"/>
      <c r="Q5" s="455"/>
      <c r="R5" s="455"/>
      <c r="S5" s="456"/>
    </row>
    <row r="6" spans="1:102" s="173" customFormat="1" ht="12.75" customHeight="1" x14ac:dyDescent="0.25">
      <c r="B6" s="454" t="s">
        <v>134</v>
      </c>
      <c r="C6" s="455"/>
      <c r="D6" s="455"/>
      <c r="E6" s="455"/>
      <c r="F6" s="455"/>
      <c r="G6" s="455"/>
      <c r="H6" s="455"/>
      <c r="I6" s="455"/>
      <c r="J6" s="455"/>
      <c r="K6" s="455"/>
      <c r="L6" s="455"/>
      <c r="M6" s="455"/>
      <c r="N6" s="455"/>
      <c r="O6" s="455"/>
      <c r="P6" s="455"/>
      <c r="Q6" s="455"/>
      <c r="R6" s="455"/>
      <c r="S6" s="456"/>
    </row>
    <row r="7" spans="1:102" s="173" customFormat="1" ht="12.75" customHeight="1" x14ac:dyDescent="0.25">
      <c r="B7" s="454" t="s">
        <v>135</v>
      </c>
      <c r="C7" s="455"/>
      <c r="D7" s="455"/>
      <c r="E7" s="455"/>
      <c r="F7" s="455"/>
      <c r="G7" s="455"/>
      <c r="H7" s="455"/>
      <c r="I7" s="455"/>
      <c r="J7" s="455"/>
      <c r="K7" s="455"/>
      <c r="L7" s="455"/>
      <c r="M7" s="455"/>
      <c r="N7" s="455"/>
      <c r="O7" s="455"/>
      <c r="P7" s="455"/>
      <c r="Q7" s="455"/>
      <c r="R7" s="455"/>
      <c r="S7" s="456"/>
    </row>
    <row r="8" spans="1:102" s="173" customFormat="1" ht="12.75" customHeight="1" x14ac:dyDescent="0.25">
      <c r="B8" s="454" t="s">
        <v>136</v>
      </c>
      <c r="C8" s="455"/>
      <c r="D8" s="455"/>
      <c r="E8" s="455"/>
      <c r="F8" s="455"/>
      <c r="G8" s="455"/>
      <c r="H8" s="455"/>
      <c r="I8" s="455"/>
      <c r="J8" s="455"/>
      <c r="K8" s="455"/>
      <c r="L8" s="455"/>
      <c r="M8" s="455"/>
      <c r="N8" s="455"/>
      <c r="O8" s="455"/>
      <c r="P8" s="455"/>
      <c r="Q8" s="455"/>
      <c r="R8" s="455"/>
      <c r="S8" s="456"/>
    </row>
    <row r="9" spans="1:102" s="173" customFormat="1" ht="12.75" customHeight="1" x14ac:dyDescent="0.25">
      <c r="B9" s="454" t="s">
        <v>137</v>
      </c>
      <c r="C9" s="455"/>
      <c r="D9" s="455"/>
      <c r="E9" s="455"/>
      <c r="F9" s="455"/>
      <c r="G9" s="455"/>
      <c r="H9" s="455"/>
      <c r="I9" s="455"/>
      <c r="J9" s="455"/>
      <c r="K9" s="455"/>
      <c r="L9" s="455"/>
      <c r="M9" s="455"/>
      <c r="N9" s="455"/>
      <c r="O9" s="455"/>
      <c r="P9" s="455"/>
      <c r="Q9" s="455"/>
      <c r="R9" s="455"/>
      <c r="S9" s="456"/>
    </row>
    <row r="10" spans="1:102" x14ac:dyDescent="0.25">
      <c r="B10" s="454" t="s">
        <v>140</v>
      </c>
      <c r="C10" s="455"/>
      <c r="D10" s="455"/>
      <c r="E10" s="455"/>
      <c r="F10" s="455"/>
      <c r="G10" s="455"/>
      <c r="H10" s="455"/>
      <c r="I10" s="455"/>
      <c r="J10" s="455"/>
      <c r="K10" s="455"/>
      <c r="L10" s="455"/>
      <c r="M10" s="455"/>
      <c r="N10" s="455"/>
      <c r="O10" s="455"/>
      <c r="P10" s="455"/>
      <c r="Q10" s="455"/>
      <c r="R10" s="455"/>
      <c r="S10" s="456"/>
    </row>
    <row r="11" spans="1:102" ht="12.75" customHeight="1" x14ac:dyDescent="0.25">
      <c r="B11" s="454" t="s">
        <v>142</v>
      </c>
      <c r="C11" s="455"/>
      <c r="D11" s="455"/>
      <c r="E11" s="455"/>
      <c r="F11" s="455"/>
      <c r="G11" s="455"/>
      <c r="H11" s="455"/>
      <c r="I11" s="455"/>
      <c r="J11" s="455"/>
      <c r="K11" s="455"/>
      <c r="L11" s="455"/>
      <c r="M11" s="455"/>
      <c r="N11" s="455"/>
      <c r="O11" s="455"/>
      <c r="P11" s="455"/>
      <c r="Q11" s="455"/>
      <c r="R11" s="455"/>
      <c r="S11" s="456"/>
    </row>
    <row r="12" spans="1:102" ht="12.75" customHeight="1" x14ac:dyDescent="0.25">
      <c r="B12" s="454" t="s">
        <v>139</v>
      </c>
      <c r="C12" s="455"/>
      <c r="D12" s="455"/>
      <c r="E12" s="455"/>
      <c r="F12" s="455"/>
      <c r="G12" s="455"/>
      <c r="H12" s="455"/>
      <c r="I12" s="455"/>
      <c r="J12" s="455"/>
      <c r="K12" s="455"/>
      <c r="L12" s="455"/>
      <c r="M12" s="455"/>
      <c r="N12" s="455"/>
      <c r="O12" s="455"/>
      <c r="P12" s="455"/>
      <c r="Q12" s="455"/>
      <c r="R12" s="455"/>
      <c r="S12" s="456"/>
    </row>
    <row r="13" spans="1:102" x14ac:dyDescent="0.25">
      <c r="B13" s="457" t="s">
        <v>264</v>
      </c>
      <c r="C13" s="455"/>
      <c r="D13" s="455"/>
      <c r="E13" s="455"/>
      <c r="F13" s="455"/>
      <c r="G13" s="455"/>
      <c r="H13" s="455"/>
      <c r="I13" s="455"/>
      <c r="J13" s="455"/>
      <c r="K13" s="455"/>
      <c r="L13" s="455"/>
      <c r="M13" s="455"/>
      <c r="N13" s="455"/>
      <c r="O13" s="455"/>
      <c r="P13" s="455"/>
      <c r="Q13" s="455"/>
      <c r="R13" s="455"/>
      <c r="S13" s="456"/>
    </row>
    <row r="14" spans="1:102" x14ac:dyDescent="0.25">
      <c r="B14" s="454" t="s">
        <v>265</v>
      </c>
      <c r="C14" s="455"/>
      <c r="D14" s="455"/>
      <c r="E14" s="455"/>
      <c r="F14" s="455"/>
      <c r="G14" s="455"/>
      <c r="H14" s="455"/>
      <c r="I14" s="455"/>
      <c r="J14" s="455"/>
      <c r="K14" s="455"/>
      <c r="L14" s="455"/>
      <c r="M14" s="455"/>
      <c r="N14" s="455"/>
      <c r="O14" s="455"/>
      <c r="P14" s="455"/>
      <c r="Q14" s="455"/>
      <c r="R14" s="455"/>
      <c r="S14" s="456"/>
    </row>
    <row r="15" spans="1:102" x14ac:dyDescent="0.25">
      <c r="B15" s="457" t="s">
        <v>262</v>
      </c>
      <c r="C15" s="455"/>
      <c r="D15" s="455"/>
      <c r="E15" s="455"/>
      <c r="F15" s="455"/>
      <c r="G15" s="455"/>
      <c r="H15" s="455"/>
      <c r="I15" s="455"/>
      <c r="J15" s="455"/>
      <c r="K15" s="455"/>
      <c r="L15" s="455"/>
      <c r="M15" s="455"/>
      <c r="N15" s="455"/>
      <c r="O15" s="455"/>
      <c r="P15" s="455"/>
      <c r="Q15" s="455"/>
      <c r="R15" s="455"/>
      <c r="S15" s="456"/>
    </row>
    <row r="16" spans="1:102" x14ac:dyDescent="0.25">
      <c r="B16" s="454" t="s">
        <v>263</v>
      </c>
      <c r="C16" s="455"/>
      <c r="D16" s="455"/>
      <c r="E16" s="455"/>
      <c r="F16" s="455"/>
      <c r="G16" s="455"/>
      <c r="H16" s="455"/>
      <c r="I16" s="455"/>
      <c r="J16" s="455"/>
      <c r="K16" s="455"/>
      <c r="L16" s="455"/>
      <c r="M16" s="455"/>
      <c r="N16" s="455"/>
      <c r="O16" s="455"/>
      <c r="P16" s="455"/>
      <c r="Q16" s="455"/>
      <c r="R16" s="455"/>
      <c r="S16" s="456"/>
    </row>
    <row r="17" spans="2:102" x14ac:dyDescent="0.25">
      <c r="B17" s="457" t="s">
        <v>241</v>
      </c>
      <c r="C17" s="455"/>
      <c r="D17" s="455"/>
      <c r="E17" s="455"/>
      <c r="F17" s="455"/>
      <c r="G17" s="455"/>
      <c r="H17" s="455"/>
      <c r="I17" s="455"/>
      <c r="J17" s="455"/>
      <c r="K17" s="455"/>
      <c r="L17" s="455"/>
      <c r="M17" s="455"/>
      <c r="N17" s="455"/>
      <c r="O17" s="455"/>
      <c r="P17" s="455"/>
      <c r="Q17" s="455"/>
      <c r="R17" s="455"/>
      <c r="S17" s="456"/>
    </row>
    <row r="18" spans="2:102" x14ac:dyDescent="0.25">
      <c r="B18" s="454"/>
      <c r="C18" s="455" t="s">
        <v>242</v>
      </c>
      <c r="D18" s="455"/>
      <c r="E18" s="455"/>
      <c r="F18" s="455"/>
      <c r="G18" s="455"/>
      <c r="H18" s="455"/>
      <c r="I18" s="455"/>
      <c r="J18" s="455"/>
      <c r="K18" s="455"/>
      <c r="L18" s="455"/>
      <c r="M18" s="455"/>
      <c r="N18" s="455"/>
      <c r="O18" s="455"/>
      <c r="P18" s="455"/>
      <c r="Q18" s="455"/>
      <c r="R18" s="455"/>
      <c r="S18" s="456"/>
    </row>
    <row r="19" spans="2:102" x14ac:dyDescent="0.25">
      <c r="B19" s="457" t="s">
        <v>258</v>
      </c>
      <c r="C19" s="452"/>
      <c r="D19" s="452"/>
      <c r="E19" s="452"/>
      <c r="F19" s="452"/>
      <c r="G19" s="452"/>
      <c r="H19" s="452"/>
      <c r="I19" s="452"/>
      <c r="J19" s="452"/>
      <c r="K19" s="452"/>
      <c r="L19" s="452"/>
      <c r="M19" s="452"/>
      <c r="N19" s="452"/>
      <c r="O19" s="452"/>
      <c r="P19" s="452"/>
      <c r="Q19" s="452"/>
      <c r="R19" s="452"/>
      <c r="S19" s="453"/>
    </row>
    <row r="20" spans="2:102" x14ac:dyDescent="0.25">
      <c r="B20" s="454" t="s">
        <v>259</v>
      </c>
      <c r="C20" s="452"/>
      <c r="D20" s="452"/>
      <c r="E20" s="452"/>
      <c r="F20" s="452"/>
      <c r="G20" s="452"/>
      <c r="H20" s="452"/>
      <c r="I20" s="452"/>
      <c r="J20" s="452"/>
      <c r="K20" s="452"/>
      <c r="L20" s="452"/>
      <c r="M20" s="452"/>
      <c r="N20" s="452"/>
      <c r="O20" s="452"/>
      <c r="P20" s="452"/>
      <c r="Q20" s="452"/>
      <c r="R20" s="452"/>
      <c r="S20" s="453"/>
    </row>
    <row r="21" spans="2:102" x14ac:dyDescent="0.25">
      <c r="B21" s="252"/>
      <c r="C21" s="240"/>
      <c r="D21" s="240"/>
      <c r="E21" s="240"/>
      <c r="F21" s="240"/>
      <c r="G21" s="240"/>
      <c r="H21" s="240"/>
      <c r="I21" s="240"/>
      <c r="J21" s="240"/>
      <c r="K21" s="240"/>
      <c r="L21" s="240"/>
      <c r="M21" s="240"/>
      <c r="N21" s="240"/>
      <c r="O21" s="240"/>
      <c r="P21" s="240"/>
      <c r="Q21" s="240"/>
      <c r="R21" s="240"/>
      <c r="S21" s="253"/>
    </row>
    <row r="22" spans="2:102" ht="13" x14ac:dyDescent="0.3">
      <c r="B22" s="252"/>
      <c r="C22" s="446" t="s">
        <v>239</v>
      </c>
      <c r="D22" s="447"/>
      <c r="E22" s="447"/>
      <c r="F22" s="447"/>
      <c r="G22" s="447"/>
      <c r="H22" s="447"/>
      <c r="I22" s="447"/>
      <c r="J22" s="447"/>
      <c r="K22" s="448"/>
      <c r="L22" s="222"/>
      <c r="M22" s="446" t="s">
        <v>240</v>
      </c>
      <c r="N22" s="447"/>
      <c r="O22" s="447"/>
      <c r="P22" s="447"/>
      <c r="Q22" s="447"/>
      <c r="R22" s="448"/>
      <c r="S22" s="254"/>
      <c r="T22" s="173"/>
      <c r="CX22" s="171"/>
    </row>
    <row r="23" spans="2:102" ht="52" x14ac:dyDescent="0.25">
      <c r="B23" s="252"/>
      <c r="C23" s="261" t="s">
        <v>149</v>
      </c>
      <c r="D23" s="261" t="s">
        <v>150</v>
      </c>
      <c r="E23" s="250"/>
      <c r="F23" s="250"/>
      <c r="G23" s="250"/>
      <c r="H23" s="250"/>
      <c r="I23" s="250"/>
      <c r="J23" s="250"/>
      <c r="K23" s="251"/>
      <c r="L23" s="222"/>
      <c r="M23" s="260" t="s">
        <v>19</v>
      </c>
      <c r="N23" s="260" t="s">
        <v>20</v>
      </c>
      <c r="O23" s="261" t="s">
        <v>147</v>
      </c>
      <c r="P23" s="261" t="s">
        <v>146</v>
      </c>
      <c r="Q23" s="261" t="s">
        <v>145</v>
      </c>
      <c r="R23" s="261" t="s">
        <v>148</v>
      </c>
      <c r="S23" s="187"/>
      <c r="T23" s="173"/>
      <c r="CW23" s="171"/>
      <c r="CX23" s="171"/>
    </row>
    <row r="24" spans="2:102" x14ac:dyDescent="0.25">
      <c r="B24" s="252"/>
      <c r="C24" s="265">
        <v>38</v>
      </c>
      <c r="D24" s="277">
        <v>1000000</v>
      </c>
      <c r="E24" s="222"/>
      <c r="F24" s="222"/>
      <c r="G24" s="222"/>
      <c r="H24" s="222"/>
      <c r="I24" s="222"/>
      <c r="J24" s="222"/>
      <c r="K24" s="223"/>
      <c r="L24" s="222"/>
      <c r="M24" s="262">
        <v>39093</v>
      </c>
      <c r="N24" s="263">
        <v>0.94791666666666663</v>
      </c>
      <c r="O24" s="264">
        <v>27.06</v>
      </c>
      <c r="P24" s="264" t="s">
        <v>141</v>
      </c>
      <c r="Q24" s="278">
        <f>IF(O24="","",29835*O24-81942)</f>
        <v>725393.1</v>
      </c>
      <c r="R24" s="278" t="s">
        <v>141</v>
      </c>
      <c r="S24" s="187"/>
      <c r="T24" s="173"/>
      <c r="CW24" s="171"/>
      <c r="CX24" s="171"/>
    </row>
    <row r="25" spans="2:102" x14ac:dyDescent="0.25">
      <c r="B25" s="252"/>
      <c r="C25" s="265">
        <v>37</v>
      </c>
      <c r="D25" s="277">
        <v>998854</v>
      </c>
      <c r="E25" s="222"/>
      <c r="F25" s="222"/>
      <c r="G25" s="222"/>
      <c r="H25" s="222"/>
      <c r="I25" s="222"/>
      <c r="J25" s="222"/>
      <c r="K25" s="223"/>
      <c r="L25" s="222"/>
      <c r="M25" s="262">
        <v>39094</v>
      </c>
      <c r="N25" s="263">
        <v>0.4284722222222222</v>
      </c>
      <c r="O25" s="264" t="s">
        <v>141</v>
      </c>
      <c r="P25" s="264">
        <v>35.39</v>
      </c>
      <c r="Q25" s="278" t="s">
        <v>141</v>
      </c>
      <c r="R25" s="278">
        <f t="shared" ref="R25:R37" si="0">IF(P25="","",29835*P25-81942)</f>
        <v>973918.64999999991</v>
      </c>
      <c r="S25" s="187"/>
      <c r="T25" s="173"/>
      <c r="CW25" s="171"/>
      <c r="CX25" s="171"/>
    </row>
    <row r="26" spans="2:102" x14ac:dyDescent="0.25">
      <c r="B26" s="252"/>
      <c r="C26" s="265">
        <v>36</v>
      </c>
      <c r="D26" s="277">
        <v>979744</v>
      </c>
      <c r="E26" s="222"/>
      <c r="F26" s="222"/>
      <c r="G26" s="222"/>
      <c r="H26" s="222"/>
      <c r="I26" s="222"/>
      <c r="J26" s="222"/>
      <c r="K26" s="223"/>
      <c r="L26" s="222"/>
      <c r="M26" s="262">
        <v>39094</v>
      </c>
      <c r="N26" s="263">
        <v>0.91874999999999996</v>
      </c>
      <c r="O26" s="264">
        <v>30.2</v>
      </c>
      <c r="P26" s="264" t="s">
        <v>141</v>
      </c>
      <c r="Q26" s="278">
        <f t="shared" ref="Q26:Q36" si="1">IF(O26="","",29835*O26-81942)</f>
        <v>819075</v>
      </c>
      <c r="R26" s="278" t="s">
        <v>141</v>
      </c>
      <c r="S26" s="187"/>
      <c r="T26" s="173"/>
      <c r="CW26" s="171"/>
      <c r="CX26" s="171"/>
    </row>
    <row r="27" spans="2:102" x14ac:dyDescent="0.25">
      <c r="B27" s="252"/>
      <c r="C27" s="265">
        <v>35</v>
      </c>
      <c r="D27" s="277">
        <v>958591</v>
      </c>
      <c r="E27" s="222"/>
      <c r="F27" s="222"/>
      <c r="G27" s="222"/>
      <c r="H27" s="222"/>
      <c r="I27" s="222"/>
      <c r="J27" s="222"/>
      <c r="K27" s="223"/>
      <c r="L27" s="222"/>
      <c r="M27" s="262">
        <v>39095</v>
      </c>
      <c r="N27" s="263">
        <v>0.64236111111111105</v>
      </c>
      <c r="O27" s="264" t="s">
        <v>141</v>
      </c>
      <c r="P27" s="264">
        <v>31.86</v>
      </c>
      <c r="Q27" s="278" t="s">
        <v>141</v>
      </c>
      <c r="R27" s="278">
        <f t="shared" si="0"/>
        <v>868601.1</v>
      </c>
      <c r="S27" s="187"/>
      <c r="T27" s="173"/>
      <c r="CW27" s="171"/>
      <c r="CX27" s="171"/>
    </row>
    <row r="28" spans="2:102" x14ac:dyDescent="0.25">
      <c r="B28" s="252"/>
      <c r="C28" s="265">
        <v>34</v>
      </c>
      <c r="D28" s="277">
        <v>935672</v>
      </c>
      <c r="E28" s="222"/>
      <c r="F28" s="222"/>
      <c r="G28" s="222"/>
      <c r="H28" s="222"/>
      <c r="I28" s="222"/>
      <c r="J28" s="222"/>
      <c r="K28" s="223"/>
      <c r="L28" s="222"/>
      <c r="M28" s="262">
        <v>39095</v>
      </c>
      <c r="N28" s="263">
        <v>0.95486111111111116</v>
      </c>
      <c r="O28" s="264">
        <v>22.25</v>
      </c>
      <c r="P28" s="264" t="s">
        <v>141</v>
      </c>
      <c r="Q28" s="278">
        <f t="shared" si="1"/>
        <v>581886.75</v>
      </c>
      <c r="R28" s="278" t="s">
        <v>141</v>
      </c>
      <c r="S28" s="187"/>
      <c r="T28" s="173"/>
      <c r="CW28" s="171"/>
      <c r="CX28" s="171"/>
    </row>
    <row r="29" spans="2:102" x14ac:dyDescent="0.25">
      <c r="B29" s="252"/>
      <c r="C29" s="265">
        <v>33</v>
      </c>
      <c r="D29" s="277">
        <v>911199</v>
      </c>
      <c r="E29" s="222"/>
      <c r="F29" s="222"/>
      <c r="G29" s="222"/>
      <c r="H29" s="222"/>
      <c r="I29" s="222"/>
      <c r="J29" s="222"/>
      <c r="K29" s="223"/>
      <c r="L29" s="222"/>
      <c r="M29" s="262">
        <v>39096</v>
      </c>
      <c r="N29" s="263">
        <v>0.49652777777777773</v>
      </c>
      <c r="O29" s="264" t="s">
        <v>141</v>
      </c>
      <c r="P29" s="264">
        <v>32.6</v>
      </c>
      <c r="Q29" s="278" t="s">
        <v>141</v>
      </c>
      <c r="R29" s="278">
        <f t="shared" si="0"/>
        <v>890679</v>
      </c>
      <c r="S29" s="187"/>
      <c r="T29" s="173"/>
      <c r="CW29" s="171"/>
      <c r="CX29" s="171"/>
    </row>
    <row r="30" spans="2:102" x14ac:dyDescent="0.25">
      <c r="B30" s="252"/>
      <c r="C30" s="265">
        <v>32</v>
      </c>
      <c r="D30" s="277">
        <v>885347</v>
      </c>
      <c r="E30" s="222"/>
      <c r="F30" s="222"/>
      <c r="G30" s="222"/>
      <c r="H30" s="222"/>
      <c r="I30" s="222"/>
      <c r="J30" s="222"/>
      <c r="K30" s="223"/>
      <c r="L30" s="222"/>
      <c r="M30" s="262">
        <v>39096</v>
      </c>
      <c r="N30" s="263">
        <v>0.65694444444444444</v>
      </c>
      <c r="O30" s="264">
        <v>28.24</v>
      </c>
      <c r="P30" s="264" t="s">
        <v>141</v>
      </c>
      <c r="Q30" s="278">
        <f t="shared" si="1"/>
        <v>760598.39999999991</v>
      </c>
      <c r="R30" s="278" t="s">
        <v>141</v>
      </c>
      <c r="S30" s="187"/>
      <c r="T30" s="173"/>
      <c r="CW30" s="171"/>
      <c r="CX30" s="171"/>
    </row>
    <row r="31" spans="2:102" x14ac:dyDescent="0.25">
      <c r="B31" s="252"/>
      <c r="C31" s="265">
        <v>31</v>
      </c>
      <c r="D31" s="277">
        <v>858267</v>
      </c>
      <c r="E31" s="222"/>
      <c r="F31" s="222"/>
      <c r="G31" s="222"/>
      <c r="H31" s="222"/>
      <c r="I31" s="222"/>
      <c r="J31" s="222"/>
      <c r="K31" s="223"/>
      <c r="L31" s="222"/>
      <c r="M31" s="262">
        <v>39097</v>
      </c>
      <c r="N31" s="263">
        <v>0.3034722222222222</v>
      </c>
      <c r="O31" s="264" t="s">
        <v>141</v>
      </c>
      <c r="P31" s="264">
        <v>40</v>
      </c>
      <c r="Q31" s="278" t="s">
        <v>141</v>
      </c>
      <c r="R31" s="278">
        <f t="shared" si="0"/>
        <v>1111458</v>
      </c>
      <c r="S31" s="187"/>
      <c r="T31" s="173"/>
      <c r="CW31" s="171"/>
      <c r="CX31" s="171"/>
    </row>
    <row r="32" spans="2:102" x14ac:dyDescent="0.25">
      <c r="B32" s="252"/>
      <c r="C32" s="265">
        <v>30</v>
      </c>
      <c r="D32" s="277">
        <v>830096</v>
      </c>
      <c r="E32" s="222"/>
      <c r="F32" s="222"/>
      <c r="G32" s="222"/>
      <c r="H32" s="222"/>
      <c r="I32" s="222"/>
      <c r="J32" s="222"/>
      <c r="K32" s="223"/>
      <c r="L32" s="222"/>
      <c r="M32" s="262">
        <v>39097</v>
      </c>
      <c r="N32" s="263">
        <v>0.94513888888888886</v>
      </c>
      <c r="O32" s="264">
        <v>21.96</v>
      </c>
      <c r="P32" s="264" t="s">
        <v>141</v>
      </c>
      <c r="Q32" s="278">
        <f t="shared" si="1"/>
        <v>573234.6</v>
      </c>
      <c r="R32" s="278" t="s">
        <v>141</v>
      </c>
      <c r="S32" s="187"/>
      <c r="T32" s="173"/>
      <c r="CW32" s="171"/>
      <c r="CX32" s="171"/>
    </row>
    <row r="33" spans="2:102" x14ac:dyDescent="0.25">
      <c r="B33" s="252"/>
      <c r="C33" s="265">
        <v>29</v>
      </c>
      <c r="D33" s="277">
        <v>800952</v>
      </c>
      <c r="E33" s="222"/>
      <c r="F33" s="222"/>
      <c r="G33" s="222"/>
      <c r="H33" s="222"/>
      <c r="I33" s="222"/>
      <c r="J33" s="222"/>
      <c r="K33" s="223"/>
      <c r="L33" s="222"/>
      <c r="M33" s="262">
        <v>39098</v>
      </c>
      <c r="N33" s="263">
        <v>0.65694444444444444</v>
      </c>
      <c r="O33" s="264" t="s">
        <v>141</v>
      </c>
      <c r="P33" s="264">
        <v>38.19</v>
      </c>
      <c r="Q33" s="278" t="s">
        <v>141</v>
      </c>
      <c r="R33" s="278">
        <f t="shared" si="0"/>
        <v>1057456.6499999999</v>
      </c>
      <c r="S33" s="187"/>
      <c r="T33" s="173"/>
      <c r="CW33" s="171"/>
      <c r="CX33" s="171"/>
    </row>
    <row r="34" spans="2:102" x14ac:dyDescent="0.25">
      <c r="B34" s="252"/>
      <c r="C34" s="265">
        <v>28</v>
      </c>
      <c r="D34" s="277">
        <v>770967</v>
      </c>
      <c r="E34" s="222"/>
      <c r="F34" s="222"/>
      <c r="G34" s="222"/>
      <c r="H34" s="222"/>
      <c r="I34" s="222"/>
      <c r="J34" s="222"/>
      <c r="K34" s="223"/>
      <c r="L34" s="222"/>
      <c r="M34" s="262">
        <v>39098</v>
      </c>
      <c r="N34" s="263">
        <v>0.9604166666666667</v>
      </c>
      <c r="O34" s="264">
        <v>20.59</v>
      </c>
      <c r="P34" s="264" t="s">
        <v>141</v>
      </c>
      <c r="Q34" s="278">
        <f t="shared" si="1"/>
        <v>532360.65</v>
      </c>
      <c r="R34" s="278" t="s">
        <v>141</v>
      </c>
      <c r="S34" s="187"/>
      <c r="T34" s="173"/>
      <c r="CW34" s="171"/>
      <c r="CX34" s="171"/>
    </row>
    <row r="35" spans="2:102" x14ac:dyDescent="0.25">
      <c r="B35" s="252"/>
      <c r="C35" s="265">
        <v>27</v>
      </c>
      <c r="D35" s="277">
        <v>740244</v>
      </c>
      <c r="E35" s="222"/>
      <c r="F35" s="222"/>
      <c r="G35" s="222"/>
      <c r="H35" s="222"/>
      <c r="I35" s="222"/>
      <c r="J35" s="222"/>
      <c r="K35" s="223"/>
      <c r="L35" s="222"/>
      <c r="M35" s="262">
        <v>39099</v>
      </c>
      <c r="N35" s="263">
        <v>0.68472222222222223</v>
      </c>
      <c r="O35" s="264" t="s">
        <v>141</v>
      </c>
      <c r="P35" s="264">
        <v>38.14</v>
      </c>
      <c r="Q35" s="278" t="s">
        <v>141</v>
      </c>
      <c r="R35" s="278">
        <f t="shared" si="0"/>
        <v>1055964.8999999999</v>
      </c>
      <c r="S35" s="187"/>
      <c r="T35" s="173"/>
      <c r="CW35" s="171"/>
      <c r="CX35" s="171"/>
    </row>
    <row r="36" spans="2:102" x14ac:dyDescent="0.25">
      <c r="B36" s="252"/>
      <c r="C36" s="265">
        <v>26</v>
      </c>
      <c r="D36" s="277">
        <v>708889</v>
      </c>
      <c r="E36" s="222"/>
      <c r="F36" s="222"/>
      <c r="G36" s="222"/>
      <c r="H36" s="222"/>
      <c r="I36" s="222"/>
      <c r="J36" s="222"/>
      <c r="K36" s="223"/>
      <c r="L36" s="222"/>
      <c r="M36" s="262">
        <v>39099</v>
      </c>
      <c r="N36" s="263">
        <v>0.96319444444444446</v>
      </c>
      <c r="O36" s="264">
        <v>18.05</v>
      </c>
      <c r="P36" s="264" t="s">
        <v>141</v>
      </c>
      <c r="Q36" s="278">
        <f t="shared" si="1"/>
        <v>456579.75</v>
      </c>
      <c r="R36" s="278" t="s">
        <v>141</v>
      </c>
      <c r="S36" s="187"/>
      <c r="T36" s="173"/>
      <c r="CW36" s="171"/>
      <c r="CX36" s="171"/>
    </row>
    <row r="37" spans="2:102" x14ac:dyDescent="0.25">
      <c r="B37" s="252"/>
      <c r="C37" s="265">
        <v>25</v>
      </c>
      <c r="D37" s="277">
        <v>677005</v>
      </c>
      <c r="E37" s="222"/>
      <c r="F37" s="222"/>
      <c r="G37" s="222"/>
      <c r="H37" s="222"/>
      <c r="I37" s="222"/>
      <c r="J37" s="222"/>
      <c r="K37" s="223"/>
      <c r="L37" s="222"/>
      <c r="M37" s="262">
        <v>39100</v>
      </c>
      <c r="N37" s="263">
        <v>0.70763888888888893</v>
      </c>
      <c r="O37" s="264" t="s">
        <v>141</v>
      </c>
      <c r="P37" s="264">
        <v>31.74</v>
      </c>
      <c r="Q37" s="278" t="s">
        <v>141</v>
      </c>
      <c r="R37" s="278">
        <f t="shared" si="0"/>
        <v>865020.89999999991</v>
      </c>
      <c r="S37" s="187"/>
      <c r="T37" s="173"/>
      <c r="CW37" s="171"/>
      <c r="CX37" s="171"/>
    </row>
    <row r="38" spans="2:102" x14ac:dyDescent="0.25">
      <c r="B38" s="252"/>
      <c r="C38" s="265">
        <v>24</v>
      </c>
      <c r="D38" s="277">
        <v>644691</v>
      </c>
      <c r="E38" s="222"/>
      <c r="F38" s="222"/>
      <c r="G38" s="222"/>
      <c r="H38" s="222"/>
      <c r="I38" s="222"/>
      <c r="J38" s="222"/>
      <c r="K38" s="223"/>
      <c r="L38" s="222"/>
      <c r="M38" s="262">
        <v>39100</v>
      </c>
      <c r="N38" s="263">
        <v>0.98888888888888893</v>
      </c>
      <c r="O38" s="264">
        <v>19.8</v>
      </c>
      <c r="P38" s="264" t="s">
        <v>141</v>
      </c>
      <c r="Q38" s="278">
        <f>IF(O38="","",29835*O38-81942)</f>
        <v>508791</v>
      </c>
      <c r="R38" s="278" t="s">
        <v>141</v>
      </c>
      <c r="S38" s="187"/>
      <c r="T38" s="173"/>
      <c r="CW38" s="171"/>
      <c r="CX38" s="171"/>
    </row>
    <row r="39" spans="2:102" x14ac:dyDescent="0.25">
      <c r="B39" s="252"/>
      <c r="C39" s="265">
        <v>23</v>
      </c>
      <c r="D39" s="277">
        <v>612045</v>
      </c>
      <c r="E39" s="222"/>
      <c r="F39" s="222"/>
      <c r="G39" s="222"/>
      <c r="H39" s="222"/>
      <c r="I39" s="222"/>
      <c r="J39" s="222"/>
      <c r="K39" s="223"/>
      <c r="L39" s="222"/>
      <c r="M39" s="262">
        <v>39101</v>
      </c>
      <c r="N39" s="263">
        <v>0.64097222222222217</v>
      </c>
      <c r="O39" s="264" t="s">
        <v>141</v>
      </c>
      <c r="P39" s="264">
        <v>38.049999999999997</v>
      </c>
      <c r="Q39" s="278" t="s">
        <v>141</v>
      </c>
      <c r="R39" s="278">
        <f>IF(P39="","",29835*P39-81942)</f>
        <v>1053279.75</v>
      </c>
      <c r="S39" s="187"/>
      <c r="T39" s="173"/>
      <c r="CW39" s="171"/>
      <c r="CX39" s="171"/>
    </row>
    <row r="40" spans="2:102" x14ac:dyDescent="0.25">
      <c r="B40" s="252"/>
      <c r="C40" s="265">
        <v>22</v>
      </c>
      <c r="D40" s="277">
        <v>579163</v>
      </c>
      <c r="E40" s="222"/>
      <c r="F40" s="222"/>
      <c r="G40" s="222"/>
      <c r="H40" s="222"/>
      <c r="I40" s="222"/>
      <c r="J40" s="222"/>
      <c r="K40" s="223"/>
      <c r="L40" s="222"/>
      <c r="M40" s="262">
        <v>39102</v>
      </c>
      <c r="N40" s="263">
        <v>7.6388888888888886E-3</v>
      </c>
      <c r="O40" s="264">
        <v>20.77</v>
      </c>
      <c r="P40" s="264" t="s">
        <v>141</v>
      </c>
      <c r="Q40" s="278">
        <f>IF(O40="","",29835*O40-81942)</f>
        <v>537730.94999999995</v>
      </c>
      <c r="R40" s="278" t="s">
        <v>141</v>
      </c>
      <c r="S40" s="187"/>
      <c r="T40" s="173"/>
      <c r="CW40" s="171"/>
      <c r="CX40" s="171"/>
    </row>
    <row r="41" spans="2:102" x14ac:dyDescent="0.25">
      <c r="B41" s="252"/>
      <c r="C41" s="265">
        <v>21</v>
      </c>
      <c r="D41" s="277">
        <v>546139</v>
      </c>
      <c r="E41" s="222"/>
      <c r="F41" s="222"/>
      <c r="G41" s="222"/>
      <c r="H41" s="222"/>
      <c r="I41" s="222"/>
      <c r="J41" s="222"/>
      <c r="K41" s="223"/>
      <c r="L41" s="222"/>
      <c r="M41" s="262">
        <v>39102</v>
      </c>
      <c r="N41" s="263">
        <v>0.71944444444444444</v>
      </c>
      <c r="O41" s="264" t="s">
        <v>141</v>
      </c>
      <c r="P41" s="264">
        <v>38.28</v>
      </c>
      <c r="Q41" s="278" t="s">
        <v>141</v>
      </c>
      <c r="R41" s="278">
        <f>IF(P41="","",29835*P41-81942)</f>
        <v>1060141.8</v>
      </c>
      <c r="S41" s="187"/>
      <c r="T41" s="173"/>
      <c r="CW41" s="171"/>
      <c r="CX41" s="171"/>
    </row>
    <row r="42" spans="2:102" x14ac:dyDescent="0.25">
      <c r="B42" s="252"/>
      <c r="C42" s="265">
        <v>20</v>
      </c>
      <c r="D42" s="277">
        <v>513068</v>
      </c>
      <c r="E42" s="222"/>
      <c r="F42" s="222"/>
      <c r="G42" s="222"/>
      <c r="H42" s="222"/>
      <c r="I42" s="222"/>
      <c r="J42" s="222"/>
      <c r="K42" s="223"/>
      <c r="L42" s="222"/>
      <c r="M42" s="262">
        <v>39102</v>
      </c>
      <c r="N42" s="263">
        <v>0.9458333333333333</v>
      </c>
      <c r="O42" s="264">
        <v>22.33</v>
      </c>
      <c r="P42" s="264" t="s">
        <v>141</v>
      </c>
      <c r="Q42" s="278">
        <f>IF(O42="","",29835*O42-81942)</f>
        <v>584273.54999999993</v>
      </c>
      <c r="R42" s="278" t="s">
        <v>141</v>
      </c>
      <c r="S42" s="187"/>
      <c r="T42" s="173"/>
      <c r="CW42" s="171"/>
      <c r="CX42" s="171"/>
    </row>
    <row r="43" spans="2:102" x14ac:dyDescent="0.25">
      <c r="B43" s="252"/>
      <c r="C43" s="265">
        <v>19</v>
      </c>
      <c r="D43" s="277">
        <v>480044</v>
      </c>
      <c r="E43" s="222"/>
      <c r="F43" s="222"/>
      <c r="G43" s="222"/>
      <c r="H43" s="222"/>
      <c r="I43" s="222"/>
      <c r="J43" s="222"/>
      <c r="K43" s="223"/>
      <c r="L43" s="222"/>
      <c r="M43" s="262">
        <v>39103</v>
      </c>
      <c r="N43" s="263">
        <v>0.3034722222222222</v>
      </c>
      <c r="O43" s="264" t="s">
        <v>141</v>
      </c>
      <c r="P43" s="264">
        <v>28.48</v>
      </c>
      <c r="Q43" s="278" t="s">
        <v>141</v>
      </c>
      <c r="R43" s="278">
        <f>IF(P43="","",29835*P43-81942)</f>
        <v>767758.8</v>
      </c>
      <c r="S43" s="187"/>
      <c r="T43" s="173"/>
      <c r="CW43" s="171"/>
      <c r="CX43" s="171"/>
    </row>
    <row r="44" spans="2:102" x14ac:dyDescent="0.25">
      <c r="B44" s="252"/>
      <c r="C44" s="265">
        <v>18</v>
      </c>
      <c r="D44" s="277">
        <v>447162</v>
      </c>
      <c r="E44" s="222"/>
      <c r="F44" s="222"/>
      <c r="G44" s="222"/>
      <c r="H44" s="222"/>
      <c r="I44" s="222"/>
      <c r="J44" s="222"/>
      <c r="K44" s="223"/>
      <c r="L44" s="222"/>
      <c r="M44" s="262">
        <v>39103</v>
      </c>
      <c r="N44" s="263">
        <v>0.85138888888888886</v>
      </c>
      <c r="O44" s="264">
        <v>17.940000000000001</v>
      </c>
      <c r="P44" s="264" t="s">
        <v>141</v>
      </c>
      <c r="Q44" s="278">
        <f>IF(O44="","",29835*O44-81942)</f>
        <v>453297.9</v>
      </c>
      <c r="R44" s="278" t="s">
        <v>141</v>
      </c>
      <c r="S44" s="187"/>
      <c r="T44" s="173"/>
      <c r="CW44" s="171"/>
      <c r="CX44" s="171"/>
    </row>
    <row r="45" spans="2:102" x14ac:dyDescent="0.25">
      <c r="B45" s="252"/>
      <c r="C45" s="265">
        <v>17</v>
      </c>
      <c r="D45" s="277">
        <v>414516</v>
      </c>
      <c r="E45" s="222"/>
      <c r="F45" s="222"/>
      <c r="G45" s="222"/>
      <c r="H45" s="222"/>
      <c r="I45" s="222"/>
      <c r="J45" s="222"/>
      <c r="K45" s="223"/>
      <c r="L45" s="222"/>
      <c r="M45" s="262">
        <v>39104</v>
      </c>
      <c r="N45" s="263">
        <v>0.23125000000000001</v>
      </c>
      <c r="O45" s="264" t="s">
        <v>141</v>
      </c>
      <c r="P45" s="264">
        <v>38.1</v>
      </c>
      <c r="Q45" s="278" t="s">
        <v>141</v>
      </c>
      <c r="R45" s="278">
        <f>IF(P45="","",29835*P45-81942)</f>
        <v>1054771.5</v>
      </c>
      <c r="S45" s="187"/>
      <c r="T45" s="173"/>
      <c r="CW45" s="171"/>
      <c r="CX45" s="171"/>
    </row>
    <row r="46" spans="2:102" x14ac:dyDescent="0.25">
      <c r="B46" s="252"/>
      <c r="C46" s="265">
        <v>16</v>
      </c>
      <c r="D46" s="277">
        <v>382202</v>
      </c>
      <c r="E46" s="222"/>
      <c r="F46" s="222"/>
      <c r="G46" s="222"/>
      <c r="H46" s="222"/>
      <c r="I46" s="222"/>
      <c r="J46" s="222"/>
      <c r="K46" s="223"/>
      <c r="L46" s="222"/>
      <c r="M46" s="262">
        <v>39104</v>
      </c>
      <c r="N46" s="263">
        <v>0.96388888888888891</v>
      </c>
      <c r="O46" s="264">
        <v>25.72</v>
      </c>
      <c r="P46" s="264" t="s">
        <v>141</v>
      </c>
      <c r="Q46" s="278">
        <f>IF(O46="","",29835*O46-81942)</f>
        <v>685414.2</v>
      </c>
      <c r="R46" s="278" t="s">
        <v>141</v>
      </c>
      <c r="S46" s="187"/>
      <c r="T46" s="173"/>
      <c r="CW46" s="171"/>
      <c r="CX46" s="171"/>
    </row>
    <row r="47" spans="2:102" x14ac:dyDescent="0.25">
      <c r="B47" s="252"/>
      <c r="C47" s="265">
        <v>15</v>
      </c>
      <c r="D47" s="277">
        <v>350318</v>
      </c>
      <c r="E47" s="222"/>
      <c r="F47" s="222"/>
      <c r="G47" s="222"/>
      <c r="H47" s="222"/>
      <c r="I47" s="222"/>
      <c r="J47" s="222"/>
      <c r="K47" s="223"/>
      <c r="L47" s="222"/>
      <c r="M47" s="262">
        <v>39105</v>
      </c>
      <c r="N47" s="263">
        <v>0.47986111111111113</v>
      </c>
      <c r="O47" s="264" t="s">
        <v>141</v>
      </c>
      <c r="P47" s="264">
        <v>38.22</v>
      </c>
      <c r="Q47" s="278" t="s">
        <v>141</v>
      </c>
      <c r="R47" s="278">
        <f>IF(P47="","",29835*P47-81942)</f>
        <v>1058351.7</v>
      </c>
      <c r="S47" s="187"/>
      <c r="T47" s="173"/>
      <c r="CW47" s="171"/>
      <c r="CX47" s="171"/>
    </row>
    <row r="48" spans="2:102" x14ac:dyDescent="0.25">
      <c r="B48" s="252"/>
      <c r="C48" s="265">
        <v>14</v>
      </c>
      <c r="D48" s="277">
        <v>318963</v>
      </c>
      <c r="E48" s="474"/>
      <c r="F48" s="472" t="s">
        <v>161</v>
      </c>
      <c r="G48" s="472"/>
      <c r="H48" s="472"/>
      <c r="I48" s="472"/>
      <c r="J48" s="472"/>
      <c r="K48" s="473"/>
      <c r="L48" s="222"/>
      <c r="M48" s="301"/>
      <c r="N48" s="302"/>
      <c r="O48" s="303"/>
      <c r="P48" s="303"/>
      <c r="Q48" s="304"/>
      <c r="R48" s="304"/>
      <c r="S48" s="187"/>
      <c r="T48" s="173"/>
      <c r="CW48" s="171"/>
      <c r="CX48" s="171"/>
    </row>
    <row r="49" spans="2:19" x14ac:dyDescent="0.25">
      <c r="B49" s="252"/>
      <c r="C49" s="240"/>
      <c r="D49" s="240"/>
      <c r="E49" s="240"/>
      <c r="F49" s="240"/>
      <c r="G49" s="240"/>
      <c r="H49" s="240"/>
      <c r="I49" s="240"/>
      <c r="J49" s="240"/>
      <c r="K49" s="240"/>
      <c r="L49" s="240"/>
      <c r="M49" s="240"/>
      <c r="N49" s="240"/>
      <c r="O49" s="240"/>
      <c r="P49" s="240"/>
      <c r="Q49" s="240"/>
      <c r="R49" s="240"/>
      <c r="S49" s="253"/>
    </row>
    <row r="50" spans="2:19" ht="13" x14ac:dyDescent="0.25">
      <c r="B50" s="241"/>
      <c r="C50" s="459" t="s">
        <v>243</v>
      </c>
      <c r="D50" s="455"/>
      <c r="E50" s="455"/>
      <c r="F50" s="455"/>
      <c r="G50" s="455"/>
      <c r="H50" s="455"/>
      <c r="I50" s="455"/>
      <c r="J50" s="455"/>
      <c r="K50" s="455"/>
      <c r="L50" s="455"/>
      <c r="M50" s="455"/>
      <c r="N50" s="455"/>
      <c r="O50" s="455"/>
      <c r="P50" s="455"/>
      <c r="Q50" s="455"/>
      <c r="R50" s="455"/>
      <c r="S50" s="456"/>
    </row>
    <row r="51" spans="2:19" x14ac:dyDescent="0.25">
      <c r="B51" s="454"/>
      <c r="C51" s="459" t="s">
        <v>244</v>
      </c>
      <c r="D51" s="455"/>
      <c r="E51" s="455"/>
      <c r="F51" s="455"/>
      <c r="G51" s="455"/>
      <c r="H51" s="455"/>
      <c r="I51" s="455"/>
      <c r="J51" s="455"/>
      <c r="K51" s="455"/>
      <c r="L51" s="455"/>
      <c r="M51" s="455"/>
      <c r="N51" s="455"/>
      <c r="O51" s="455"/>
      <c r="P51" s="455"/>
      <c r="Q51" s="455"/>
      <c r="R51" s="455"/>
      <c r="S51" s="456"/>
    </row>
    <row r="52" spans="2:19" x14ac:dyDescent="0.25">
      <c r="B52" s="454"/>
      <c r="C52" s="459" t="s">
        <v>245</v>
      </c>
      <c r="D52" s="455"/>
      <c r="E52" s="455"/>
      <c r="F52" s="455"/>
      <c r="G52" s="455"/>
      <c r="H52" s="455"/>
      <c r="I52" s="455"/>
      <c r="J52" s="455"/>
      <c r="K52" s="455"/>
      <c r="L52" s="455"/>
      <c r="M52" s="455"/>
      <c r="N52" s="455"/>
      <c r="O52" s="455"/>
      <c r="P52" s="455"/>
      <c r="Q52" s="455"/>
      <c r="R52" s="455"/>
      <c r="S52" s="456"/>
    </row>
    <row r="53" spans="2:19" ht="39.75" customHeight="1" x14ac:dyDescent="0.25">
      <c r="B53" s="454"/>
      <c r="C53" s="455"/>
      <c r="D53" s="455"/>
      <c r="E53" s="455"/>
      <c r="F53" s="455"/>
      <c r="G53" s="455"/>
      <c r="H53" s="455"/>
      <c r="I53" s="455"/>
      <c r="J53" s="455"/>
      <c r="K53" s="455"/>
      <c r="L53" s="455"/>
      <c r="M53" s="455"/>
      <c r="N53" s="455"/>
      <c r="O53" s="455"/>
      <c r="P53" s="455"/>
      <c r="Q53" s="455"/>
      <c r="R53" s="455"/>
      <c r="S53" s="456"/>
    </row>
    <row r="54" spans="2:19" x14ac:dyDescent="0.25">
      <c r="B54" s="252"/>
      <c r="C54" s="240"/>
      <c r="D54" s="240"/>
      <c r="E54" s="240"/>
      <c r="F54" s="240"/>
      <c r="G54" s="240"/>
      <c r="H54" s="240"/>
      <c r="I54" s="240"/>
      <c r="J54" s="240"/>
      <c r="K54" s="240"/>
      <c r="L54" s="240"/>
      <c r="M54" s="240"/>
      <c r="N54" s="240"/>
      <c r="O54" s="240"/>
      <c r="P54" s="240"/>
      <c r="Q54" s="240"/>
      <c r="R54" s="240"/>
      <c r="S54" s="253"/>
    </row>
    <row r="55" spans="2:19" ht="12.75" customHeight="1" x14ac:dyDescent="0.3">
      <c r="B55" s="252"/>
      <c r="C55" s="440" t="s">
        <v>235</v>
      </c>
      <c r="D55" s="441"/>
      <c r="E55" s="441"/>
      <c r="F55" s="441"/>
      <c r="G55" s="441"/>
      <c r="H55" s="441"/>
      <c r="I55" s="442"/>
      <c r="J55" s="283"/>
      <c r="K55" s="437" t="s">
        <v>236</v>
      </c>
      <c r="L55" s="438"/>
      <c r="M55" s="438"/>
      <c r="N55" s="438"/>
      <c r="O55" s="438"/>
      <c r="P55" s="438"/>
      <c r="Q55" s="438"/>
      <c r="R55" s="439"/>
      <c r="S55" s="253"/>
    </row>
    <row r="56" spans="2:19" ht="42" customHeight="1" x14ac:dyDescent="0.25">
      <c r="B56" s="252"/>
      <c r="C56" s="266"/>
      <c r="D56" s="267"/>
      <c r="E56" s="267"/>
      <c r="F56" s="267"/>
      <c r="G56" s="267"/>
      <c r="H56" s="250"/>
      <c r="I56" s="251"/>
      <c r="J56" s="222"/>
      <c r="K56" s="261" t="s">
        <v>19</v>
      </c>
      <c r="L56" s="261" t="s">
        <v>20</v>
      </c>
      <c r="M56" s="261" t="s">
        <v>71</v>
      </c>
      <c r="N56" s="261" t="s">
        <v>72</v>
      </c>
      <c r="O56" s="261" t="s">
        <v>69</v>
      </c>
      <c r="P56" s="261" t="s">
        <v>70</v>
      </c>
      <c r="Q56" s="261" t="s">
        <v>67</v>
      </c>
      <c r="R56" s="261" t="s">
        <v>68</v>
      </c>
      <c r="S56" s="253"/>
    </row>
    <row r="57" spans="2:19" x14ac:dyDescent="0.25">
      <c r="B57" s="252"/>
      <c r="C57" s="268"/>
      <c r="D57" s="173"/>
      <c r="E57" s="173"/>
      <c r="F57" s="173"/>
      <c r="G57" s="173"/>
      <c r="H57" s="222"/>
      <c r="I57" s="223"/>
      <c r="J57" s="222"/>
      <c r="K57" s="287">
        <v>38449</v>
      </c>
      <c r="L57" s="288">
        <v>0.34166666666666662</v>
      </c>
      <c r="M57" s="289">
        <v>0.16784006504011803</v>
      </c>
      <c r="N57" s="290" t="s">
        <v>141</v>
      </c>
      <c r="O57" s="291">
        <f>M57*$H$67</f>
        <v>27.899999999999995</v>
      </c>
      <c r="P57" s="292" t="s">
        <v>141</v>
      </c>
      <c r="Q57" s="282">
        <f>M57*$H$62</f>
        <v>167840.06504011803</v>
      </c>
      <c r="R57" s="278" t="s">
        <v>141</v>
      </c>
      <c r="S57" s="253"/>
    </row>
    <row r="58" spans="2:19" ht="13" x14ac:dyDescent="0.25">
      <c r="B58" s="252"/>
      <c r="C58" s="268"/>
      <c r="D58" s="468" t="s">
        <v>152</v>
      </c>
      <c r="E58" s="468"/>
      <c r="F58" s="468"/>
      <c r="G58" s="468"/>
      <c r="H58" s="468"/>
      <c r="I58" s="223"/>
      <c r="J58" s="222"/>
      <c r="K58" s="287">
        <v>38449</v>
      </c>
      <c r="L58" s="288">
        <v>0.38124999999999998</v>
      </c>
      <c r="M58" s="290" t="s">
        <v>141</v>
      </c>
      <c r="N58" s="289">
        <v>0.17144952880442166</v>
      </c>
      <c r="O58" s="292" t="s">
        <v>141</v>
      </c>
      <c r="P58" s="292">
        <f>N58*$H$67</f>
        <v>28.5</v>
      </c>
      <c r="Q58" s="278" t="s">
        <v>141</v>
      </c>
      <c r="R58" s="282">
        <f>N58*$H$62</f>
        <v>171449.52880442166</v>
      </c>
      <c r="S58" s="253"/>
    </row>
    <row r="59" spans="2:19" x14ac:dyDescent="0.25">
      <c r="B59" s="252"/>
      <c r="C59" s="268"/>
      <c r="D59" s="173"/>
      <c r="E59" s="173"/>
      <c r="F59" s="173"/>
      <c r="G59" s="173"/>
      <c r="H59" s="222"/>
      <c r="I59" s="223"/>
      <c r="J59" s="222"/>
      <c r="K59" s="287">
        <v>38449</v>
      </c>
      <c r="L59" s="288">
        <v>0.57916666666666672</v>
      </c>
      <c r="M59" s="289">
        <v>0.16242586939366263</v>
      </c>
      <c r="N59" s="290" t="s">
        <v>141</v>
      </c>
      <c r="O59" s="291">
        <f>M59*$H$67</f>
        <v>27</v>
      </c>
      <c r="P59" s="292" t="s">
        <v>141</v>
      </c>
      <c r="Q59" s="282">
        <f>M59*$H$62</f>
        <v>162425.86939366264</v>
      </c>
      <c r="R59" s="278" t="s">
        <v>141</v>
      </c>
      <c r="S59" s="253"/>
    </row>
    <row r="60" spans="2:19" x14ac:dyDescent="0.25">
      <c r="B60" s="252"/>
      <c r="C60" s="268"/>
      <c r="D60" s="173"/>
      <c r="E60" s="173"/>
      <c r="F60" s="173"/>
      <c r="G60" s="173"/>
      <c r="H60" s="222"/>
      <c r="I60" s="223"/>
      <c r="J60" s="222"/>
      <c r="K60" s="287">
        <v>38449</v>
      </c>
      <c r="L60" s="288">
        <v>0.65902777777777777</v>
      </c>
      <c r="M60" s="290" t="s">
        <v>141</v>
      </c>
      <c r="N60" s="289">
        <v>0.17205110609847227</v>
      </c>
      <c r="O60" s="292" t="s">
        <v>141</v>
      </c>
      <c r="P60" s="292">
        <f>N60*$H$67</f>
        <v>28.6</v>
      </c>
      <c r="Q60" s="278" t="s">
        <v>141</v>
      </c>
      <c r="R60" s="282">
        <f>N60*$H$62</f>
        <v>172051.10609847226</v>
      </c>
      <c r="S60" s="253"/>
    </row>
    <row r="61" spans="2:19" ht="13" x14ac:dyDescent="0.3">
      <c r="B61" s="252"/>
      <c r="C61" s="229"/>
      <c r="E61" s="284" t="s">
        <v>159</v>
      </c>
      <c r="G61" s="222"/>
      <c r="H61" s="222"/>
      <c r="I61" s="223"/>
      <c r="J61" s="222"/>
      <c r="K61" s="287">
        <v>38449</v>
      </c>
      <c r="L61" s="288">
        <v>0.82638888888888884</v>
      </c>
      <c r="M61" s="289">
        <v>0.16242586939366263</v>
      </c>
      <c r="N61" s="290" t="s">
        <v>141</v>
      </c>
      <c r="O61" s="291">
        <f>M61*$H$67</f>
        <v>27</v>
      </c>
      <c r="P61" s="292" t="s">
        <v>141</v>
      </c>
      <c r="Q61" s="282">
        <f>M61*$H$62</f>
        <v>162425.86939366264</v>
      </c>
      <c r="R61" s="278" t="s">
        <v>141</v>
      </c>
      <c r="S61" s="253"/>
    </row>
    <row r="62" spans="2:19" x14ac:dyDescent="0.25">
      <c r="B62" s="252"/>
      <c r="C62" s="229"/>
      <c r="E62" s="222"/>
      <c r="G62" s="269" t="s">
        <v>151</v>
      </c>
      <c r="H62" s="420">
        <v>1000000</v>
      </c>
      <c r="I62" s="274" t="s">
        <v>155</v>
      </c>
      <c r="J62" s="222"/>
      <c r="K62" s="287">
        <v>38449</v>
      </c>
      <c r="L62" s="288">
        <v>0.95208333333333339</v>
      </c>
      <c r="M62" s="290" t="s">
        <v>141</v>
      </c>
      <c r="N62" s="289">
        <v>0.17265268339252288</v>
      </c>
      <c r="O62" s="292" t="s">
        <v>141</v>
      </c>
      <c r="P62" s="292">
        <f>N62*$H$67</f>
        <v>28.7</v>
      </c>
      <c r="Q62" s="278" t="s">
        <v>141</v>
      </c>
      <c r="R62" s="282">
        <f>N62*$H$62</f>
        <v>172652.68339252289</v>
      </c>
      <c r="S62" s="253"/>
    </row>
    <row r="63" spans="2:19" x14ac:dyDescent="0.25">
      <c r="B63" s="252"/>
      <c r="C63" s="229"/>
      <c r="E63" s="173"/>
      <c r="G63" s="173"/>
      <c r="H63" s="173"/>
      <c r="I63" s="275"/>
      <c r="J63" s="222"/>
      <c r="K63" s="287">
        <v>38450</v>
      </c>
      <c r="L63" s="288">
        <v>0.27083333333333331</v>
      </c>
      <c r="M63" s="289">
        <v>0.16242586939366263</v>
      </c>
      <c r="N63" s="290" t="s">
        <v>141</v>
      </c>
      <c r="O63" s="291">
        <f>M63*$H$67</f>
        <v>27</v>
      </c>
      <c r="P63" s="292" t="s">
        <v>141</v>
      </c>
      <c r="Q63" s="282">
        <f>M63*$H$62</f>
        <v>162425.86939366264</v>
      </c>
      <c r="R63" s="278" t="s">
        <v>141</v>
      </c>
      <c r="S63" s="253"/>
    </row>
    <row r="64" spans="2:19" x14ac:dyDescent="0.25">
      <c r="B64" s="252"/>
      <c r="C64" s="229"/>
      <c r="E64" s="222"/>
      <c r="G64" s="269" t="s">
        <v>153</v>
      </c>
      <c r="H64" s="421">
        <v>32</v>
      </c>
      <c r="I64" s="276" t="s">
        <v>1</v>
      </c>
      <c r="J64" s="222"/>
      <c r="K64" s="287">
        <v>38450</v>
      </c>
      <c r="L64" s="288">
        <v>0.3611111111111111</v>
      </c>
      <c r="M64" s="290" t="s">
        <v>141</v>
      </c>
      <c r="N64" s="289">
        <v>0.17205110609847227</v>
      </c>
      <c r="O64" s="292" t="s">
        <v>141</v>
      </c>
      <c r="P64" s="292">
        <f>N64*$H$67</f>
        <v>28.6</v>
      </c>
      <c r="Q64" s="278" t="s">
        <v>141</v>
      </c>
      <c r="R64" s="282">
        <f>N64*$H$62</f>
        <v>172051.10609847226</v>
      </c>
      <c r="S64" s="253"/>
    </row>
    <row r="65" spans="2:19" ht="13" x14ac:dyDescent="0.3">
      <c r="B65" s="252"/>
      <c r="C65" s="229"/>
      <c r="E65" s="270"/>
      <c r="G65" s="222"/>
      <c r="H65" s="173"/>
      <c r="I65" s="223"/>
      <c r="J65" s="222"/>
      <c r="K65" s="287">
        <v>38450</v>
      </c>
      <c r="L65" s="288">
        <v>0.61388888888888882</v>
      </c>
      <c r="M65" s="289">
        <v>0.16062113751151083</v>
      </c>
      <c r="N65" s="290" t="s">
        <v>141</v>
      </c>
      <c r="O65" s="291">
        <f>M65*$H$67</f>
        <v>26.700000000000003</v>
      </c>
      <c r="P65" s="292" t="s">
        <v>141</v>
      </c>
      <c r="Q65" s="282">
        <f>M65*$H$62</f>
        <v>160621.13751151084</v>
      </c>
      <c r="R65" s="278" t="s">
        <v>141</v>
      </c>
      <c r="S65" s="253"/>
    </row>
    <row r="66" spans="2:19" ht="13" x14ac:dyDescent="0.3">
      <c r="B66" s="252"/>
      <c r="C66" s="229"/>
      <c r="E66" s="285" t="s">
        <v>160</v>
      </c>
      <c r="G66" s="222"/>
      <c r="H66" s="173"/>
      <c r="I66" s="223"/>
      <c r="J66" s="222"/>
      <c r="K66" s="287">
        <v>38450</v>
      </c>
      <c r="L66" s="288">
        <v>0.70833333333333337</v>
      </c>
      <c r="M66" s="290" t="s">
        <v>141</v>
      </c>
      <c r="N66" s="289">
        <v>0.17205110609847227</v>
      </c>
      <c r="O66" s="292" t="s">
        <v>141</v>
      </c>
      <c r="P66" s="292">
        <f>N66*$H$67</f>
        <v>28.6</v>
      </c>
      <c r="Q66" s="278" t="s">
        <v>141</v>
      </c>
      <c r="R66" s="282">
        <f>N66*$H$62</f>
        <v>172051.10609847226</v>
      </c>
      <c r="S66" s="253"/>
    </row>
    <row r="67" spans="2:19" x14ac:dyDescent="0.25">
      <c r="B67" s="252"/>
      <c r="C67" s="229"/>
      <c r="D67" s="222"/>
      <c r="E67" s="173"/>
      <c r="G67" s="269" t="s">
        <v>154</v>
      </c>
      <c r="H67" s="458">
        <f>H62/(PI()*((H64/2)^2)*7.48)</f>
        <v>166.22967819591341</v>
      </c>
      <c r="I67" s="276" t="s">
        <v>1</v>
      </c>
      <c r="J67" s="222"/>
      <c r="K67" s="287">
        <v>38450</v>
      </c>
      <c r="L67" s="288">
        <v>0.86805555555555547</v>
      </c>
      <c r="M67" s="289">
        <v>0.16242586939366263</v>
      </c>
      <c r="N67" s="290" t="s">
        <v>141</v>
      </c>
      <c r="O67" s="291">
        <f>M67*$H$67</f>
        <v>27</v>
      </c>
      <c r="P67" s="292" t="s">
        <v>141</v>
      </c>
      <c r="Q67" s="282">
        <f>M67*$H$62</f>
        <v>162425.86939366264</v>
      </c>
      <c r="R67" s="278" t="s">
        <v>141</v>
      </c>
      <c r="S67" s="253"/>
    </row>
    <row r="68" spans="2:19" x14ac:dyDescent="0.25">
      <c r="B68" s="252"/>
      <c r="C68" s="229"/>
      <c r="D68" s="222"/>
      <c r="E68" s="222"/>
      <c r="F68" s="222"/>
      <c r="G68" s="222"/>
      <c r="H68" s="222"/>
      <c r="I68" s="223"/>
      <c r="J68" s="222"/>
      <c r="K68" s="287">
        <v>38450</v>
      </c>
      <c r="L68" s="288">
        <v>0.97638888888888886</v>
      </c>
      <c r="M68" s="290" t="s">
        <v>141</v>
      </c>
      <c r="N68" s="289">
        <v>0.17205110609847227</v>
      </c>
      <c r="O68" s="292" t="s">
        <v>141</v>
      </c>
      <c r="P68" s="292">
        <f>N68*$H$67</f>
        <v>28.6</v>
      </c>
      <c r="Q68" s="278" t="s">
        <v>141</v>
      </c>
      <c r="R68" s="282">
        <f>N68*$H$62</f>
        <v>172051.10609847226</v>
      </c>
      <c r="S68" s="253"/>
    </row>
    <row r="69" spans="2:19" x14ac:dyDescent="0.25">
      <c r="B69" s="252"/>
      <c r="C69" s="229"/>
      <c r="D69" s="222"/>
      <c r="E69" s="222"/>
      <c r="F69" s="222"/>
      <c r="G69" s="222"/>
      <c r="H69" s="222"/>
      <c r="I69" s="223"/>
      <c r="J69" s="222"/>
      <c r="K69" s="293"/>
      <c r="L69" s="294"/>
      <c r="M69" s="295"/>
      <c r="N69" s="295"/>
      <c r="O69" s="272"/>
      <c r="P69" s="296"/>
      <c r="Q69" s="271"/>
      <c r="R69" s="273"/>
      <c r="S69" s="253"/>
    </row>
    <row r="70" spans="2:19" ht="13" x14ac:dyDescent="0.3">
      <c r="B70" s="252"/>
      <c r="C70" s="229"/>
      <c r="D70" s="222"/>
      <c r="E70" s="222"/>
      <c r="F70" s="222"/>
      <c r="G70" s="222"/>
      <c r="H70" s="222"/>
      <c r="I70" s="223"/>
      <c r="J70" s="222"/>
      <c r="K70" s="443" t="s">
        <v>238</v>
      </c>
      <c r="L70" s="444"/>
      <c r="M70" s="444"/>
      <c r="N70" s="444"/>
      <c r="O70" s="444"/>
      <c r="P70" s="444"/>
      <c r="Q70" s="444"/>
      <c r="R70" s="445"/>
      <c r="S70" s="253"/>
    </row>
    <row r="71" spans="2:19" x14ac:dyDescent="0.25">
      <c r="B71" s="241"/>
      <c r="C71" s="229"/>
      <c r="D71" s="222"/>
      <c r="E71" s="222"/>
      <c r="F71" s="222"/>
      <c r="G71" s="222"/>
      <c r="H71" s="222"/>
      <c r="I71" s="223"/>
      <c r="J71" s="222"/>
      <c r="K71" s="230"/>
      <c r="L71" s="222"/>
      <c r="M71" s="222"/>
      <c r="N71" s="222"/>
      <c r="O71" s="269"/>
      <c r="P71" s="280"/>
      <c r="Q71" s="222"/>
      <c r="R71" s="234"/>
      <c r="S71" s="187"/>
    </row>
    <row r="72" spans="2:19" x14ac:dyDescent="0.25">
      <c r="B72" s="241"/>
      <c r="C72" s="229"/>
      <c r="D72" s="222"/>
      <c r="E72" s="222"/>
      <c r="F72" s="222"/>
      <c r="G72" s="222"/>
      <c r="H72" s="222"/>
      <c r="I72" s="223"/>
      <c r="J72" s="222"/>
      <c r="K72" s="230"/>
      <c r="L72" s="222"/>
      <c r="M72" s="222"/>
      <c r="N72" s="222"/>
      <c r="O72" s="269" t="s">
        <v>157</v>
      </c>
      <c r="P72" s="233">
        <f>MAX(P57:P68)</f>
        <v>28.7</v>
      </c>
      <c r="Q72" s="222" t="s">
        <v>1</v>
      </c>
      <c r="R72" s="223"/>
      <c r="S72" s="187"/>
    </row>
    <row r="73" spans="2:19" x14ac:dyDescent="0.25">
      <c r="B73" s="241"/>
      <c r="C73" s="229"/>
      <c r="D73" s="222"/>
      <c r="E73" s="222"/>
      <c r="F73" s="222"/>
      <c r="G73" s="222"/>
      <c r="H73" s="222"/>
      <c r="I73" s="223"/>
      <c r="J73" s="222"/>
      <c r="K73" s="230"/>
      <c r="L73" s="231"/>
      <c r="M73" s="222"/>
      <c r="N73" s="232"/>
      <c r="O73" s="281" t="s">
        <v>156</v>
      </c>
      <c r="P73" s="235">
        <f>H64</f>
        <v>32</v>
      </c>
      <c r="Q73" s="222" t="s">
        <v>1</v>
      </c>
      <c r="R73" s="234"/>
      <c r="S73" s="187"/>
    </row>
    <row r="74" spans="2:19" x14ac:dyDescent="0.25">
      <c r="B74" s="241"/>
      <c r="C74" s="229"/>
      <c r="D74" s="222"/>
      <c r="E74" s="222"/>
      <c r="F74" s="222"/>
      <c r="G74" s="222"/>
      <c r="H74" s="222"/>
      <c r="I74" s="223"/>
      <c r="J74" s="222"/>
      <c r="K74" s="230"/>
      <c r="L74" s="222"/>
      <c r="M74" s="222"/>
      <c r="N74" s="222"/>
      <c r="O74" s="269" t="s">
        <v>158</v>
      </c>
      <c r="P74" s="279">
        <f>P72/P73</f>
        <v>0.89687499999999998</v>
      </c>
      <c r="Q74" s="222"/>
      <c r="R74" s="223"/>
      <c r="S74" s="187"/>
    </row>
    <row r="75" spans="2:19" x14ac:dyDescent="0.25">
      <c r="B75" s="241"/>
      <c r="C75" s="236"/>
      <c r="D75" s="227"/>
      <c r="E75" s="227"/>
      <c r="F75" s="227"/>
      <c r="G75" s="227"/>
      <c r="H75" s="227"/>
      <c r="I75" s="228"/>
      <c r="J75" s="222"/>
      <c r="K75" s="236"/>
      <c r="L75" s="227"/>
      <c r="M75" s="227"/>
      <c r="N75" s="227"/>
      <c r="O75" s="237"/>
      <c r="P75" s="238"/>
      <c r="Q75" s="227"/>
      <c r="R75" s="239"/>
      <c r="S75" s="187"/>
    </row>
    <row r="76" spans="2:19" x14ac:dyDescent="0.25">
      <c r="B76" s="241"/>
      <c r="C76" s="173"/>
      <c r="D76" s="173"/>
      <c r="E76" s="173"/>
      <c r="F76" s="173"/>
      <c r="G76" s="173"/>
      <c r="H76" s="173"/>
      <c r="I76" s="173"/>
      <c r="J76" s="173"/>
      <c r="K76" s="173"/>
      <c r="L76" s="173"/>
      <c r="M76" s="173"/>
      <c r="N76" s="173"/>
      <c r="O76" s="173"/>
      <c r="P76" s="173"/>
      <c r="Q76" s="173"/>
      <c r="R76" s="173"/>
      <c r="S76" s="187"/>
    </row>
    <row r="77" spans="2:19" ht="12.75" customHeight="1" x14ac:dyDescent="0.25">
      <c r="B77" s="454" t="s">
        <v>162</v>
      </c>
      <c r="C77" s="455"/>
      <c r="D77" s="455"/>
      <c r="E77" s="455"/>
      <c r="F77" s="455"/>
      <c r="G77" s="455"/>
      <c r="H77" s="455"/>
      <c r="I77" s="455"/>
      <c r="J77" s="455"/>
      <c r="K77" s="455"/>
      <c r="L77" s="455"/>
      <c r="M77" s="455"/>
      <c r="N77" s="455"/>
      <c r="O77" s="455"/>
      <c r="P77" s="455"/>
      <c r="Q77" s="455"/>
      <c r="R77" s="455"/>
      <c r="S77" s="456"/>
    </row>
    <row r="78" spans="2:19" x14ac:dyDescent="0.25">
      <c r="B78" s="241"/>
      <c r="C78" s="173"/>
      <c r="D78" s="173"/>
      <c r="E78" s="173"/>
      <c r="F78" s="173"/>
      <c r="G78" s="173"/>
      <c r="H78" s="173"/>
      <c r="I78" s="173"/>
      <c r="J78" s="173"/>
      <c r="K78" s="173"/>
      <c r="L78" s="173"/>
      <c r="M78" s="173"/>
      <c r="N78" s="173"/>
      <c r="O78" s="173"/>
      <c r="P78" s="173"/>
      <c r="Q78" s="173"/>
      <c r="R78" s="173"/>
      <c r="S78" s="187"/>
    </row>
    <row r="79" spans="2:19" ht="12.75" customHeight="1" x14ac:dyDescent="0.3">
      <c r="B79" s="241"/>
      <c r="C79" s="437" t="s">
        <v>234</v>
      </c>
      <c r="D79" s="438"/>
      <c r="E79" s="438"/>
      <c r="F79" s="438"/>
      <c r="G79" s="438"/>
      <c r="H79" s="438"/>
      <c r="I79" s="438"/>
      <c r="J79" s="438"/>
      <c r="K79" s="439"/>
      <c r="L79" s="136"/>
      <c r="M79" s="437" t="s">
        <v>237</v>
      </c>
      <c r="N79" s="438"/>
      <c r="O79" s="438"/>
      <c r="P79" s="438"/>
      <c r="Q79" s="438"/>
      <c r="R79" s="439"/>
      <c r="S79" s="187"/>
    </row>
    <row r="80" spans="2:19" ht="31.5" x14ac:dyDescent="0.25">
      <c r="B80" s="241"/>
      <c r="C80" s="266"/>
      <c r="D80" s="267"/>
      <c r="E80" s="267"/>
      <c r="F80" s="250"/>
      <c r="G80" s="259" t="s">
        <v>73</v>
      </c>
      <c r="H80" s="259" t="s">
        <v>149</v>
      </c>
      <c r="I80" s="250"/>
      <c r="J80" s="250"/>
      <c r="K80" s="251"/>
      <c r="L80" s="221"/>
      <c r="M80" s="260" t="s">
        <v>19</v>
      </c>
      <c r="N80" s="260" t="s">
        <v>20</v>
      </c>
      <c r="O80" s="297" t="s">
        <v>164</v>
      </c>
      <c r="P80" s="297" t="s">
        <v>165</v>
      </c>
      <c r="Q80" s="297" t="s">
        <v>144</v>
      </c>
      <c r="R80" s="297" t="s">
        <v>166</v>
      </c>
      <c r="S80" s="187"/>
    </row>
    <row r="81" spans="2:19" ht="13" x14ac:dyDescent="0.3">
      <c r="B81" s="241"/>
      <c r="C81" s="268"/>
      <c r="D81" s="173"/>
      <c r="E81" s="197"/>
      <c r="F81" s="286" t="s">
        <v>75</v>
      </c>
      <c r="G81" s="233">
        <v>62</v>
      </c>
      <c r="H81" s="233">
        <v>28</v>
      </c>
      <c r="I81" s="222"/>
      <c r="J81" s="222"/>
      <c r="K81" s="223"/>
      <c r="L81" s="221"/>
      <c r="M81" s="262">
        <v>38939</v>
      </c>
      <c r="N81" s="263">
        <v>0.375</v>
      </c>
      <c r="O81" s="264">
        <v>58.677411315111733</v>
      </c>
      <c r="P81" s="264" t="s">
        <v>141</v>
      </c>
      <c r="Q81" s="264">
        <f>2.4074*O81-121.26</f>
        <v>19.999999999999986</v>
      </c>
      <c r="R81" s="264" t="s">
        <v>141</v>
      </c>
      <c r="S81" s="187"/>
    </row>
    <row r="82" spans="2:19" ht="13" x14ac:dyDescent="0.3">
      <c r="B82" s="241"/>
      <c r="C82" s="268"/>
      <c r="D82" s="173"/>
      <c r="E82" s="173"/>
      <c r="F82" s="286" t="s">
        <v>74</v>
      </c>
      <c r="G82" s="233">
        <v>56.6</v>
      </c>
      <c r="H82" s="233">
        <v>15</v>
      </c>
      <c r="I82" s="222"/>
      <c r="J82" s="222"/>
      <c r="K82" s="223"/>
      <c r="L82" s="221"/>
      <c r="M82" s="262">
        <v>38939</v>
      </c>
      <c r="N82" s="263">
        <v>0.70833333333333337</v>
      </c>
      <c r="O82" s="264" t="s">
        <v>141</v>
      </c>
      <c r="P82" s="264">
        <v>61.875882695023684</v>
      </c>
      <c r="Q82" s="264" t="s">
        <v>141</v>
      </c>
      <c r="R82" s="264">
        <f>2.4074*P82-121.26</f>
        <v>27.700000000000003</v>
      </c>
      <c r="S82" s="187"/>
    </row>
    <row r="83" spans="2:19" x14ac:dyDescent="0.25">
      <c r="B83" s="241"/>
      <c r="C83" s="224"/>
      <c r="D83" s="225"/>
      <c r="E83" s="222"/>
      <c r="F83" s="222"/>
      <c r="G83" s="222"/>
      <c r="H83" s="222"/>
      <c r="I83" s="222"/>
      <c r="J83" s="222"/>
      <c r="K83" s="223"/>
      <c r="L83" s="221"/>
      <c r="M83" s="262">
        <v>38940</v>
      </c>
      <c r="N83" s="263">
        <v>0.45833333333333331</v>
      </c>
      <c r="O83" s="264">
        <v>58.843565672509762</v>
      </c>
      <c r="P83" s="264" t="s">
        <v>141</v>
      </c>
      <c r="Q83" s="264">
        <f>2.4074*O83-121.26</f>
        <v>20.399999999999991</v>
      </c>
      <c r="R83" s="264" t="s">
        <v>141</v>
      </c>
      <c r="S83" s="187"/>
    </row>
    <row r="84" spans="2:19" x14ac:dyDescent="0.25">
      <c r="B84" s="241"/>
      <c r="C84" s="224"/>
      <c r="D84" s="225"/>
      <c r="E84" s="222"/>
      <c r="F84" s="222"/>
      <c r="G84" s="222"/>
      <c r="H84" s="222"/>
      <c r="I84" s="222"/>
      <c r="J84" s="222"/>
      <c r="K84" s="223"/>
      <c r="L84" s="221"/>
      <c r="M84" s="262">
        <v>38940</v>
      </c>
      <c r="N84" s="263">
        <v>0.77083333333333337</v>
      </c>
      <c r="O84" s="264" t="s">
        <v>141</v>
      </c>
      <c r="P84" s="264">
        <v>61.668189748276156</v>
      </c>
      <c r="Q84" s="264" t="s">
        <v>141</v>
      </c>
      <c r="R84" s="264">
        <f>2.4074*P84-121.26</f>
        <v>27.200000000000003</v>
      </c>
      <c r="S84" s="187"/>
    </row>
    <row r="85" spans="2:19" x14ac:dyDescent="0.25">
      <c r="B85" s="241"/>
      <c r="C85" s="224"/>
      <c r="D85" s="225"/>
      <c r="E85" s="222"/>
      <c r="F85" s="222"/>
      <c r="G85" s="222"/>
      <c r="H85" s="222"/>
      <c r="I85" s="222"/>
      <c r="J85" s="222"/>
      <c r="K85" s="223"/>
      <c r="L85" s="221"/>
      <c r="M85" s="262">
        <v>38941</v>
      </c>
      <c r="N85" s="263">
        <v>0.45833333333333331</v>
      </c>
      <c r="O85" s="264">
        <v>59.05125861925729</v>
      </c>
      <c r="P85" s="264" t="s">
        <v>141</v>
      </c>
      <c r="Q85" s="264">
        <f>2.4074*O85-121.26</f>
        <v>20.899999999999991</v>
      </c>
      <c r="R85" s="264" t="s">
        <v>141</v>
      </c>
      <c r="S85" s="187"/>
    </row>
    <row r="86" spans="2:19" x14ac:dyDescent="0.25">
      <c r="B86" s="241"/>
      <c r="C86" s="224"/>
      <c r="D86" s="225"/>
      <c r="E86" s="222"/>
      <c r="F86" s="222"/>
      <c r="G86" s="222"/>
      <c r="H86" s="222"/>
      <c r="I86" s="222"/>
      <c r="J86" s="222"/>
      <c r="K86" s="223"/>
      <c r="L86" s="221"/>
      <c r="M86" s="262">
        <v>38941</v>
      </c>
      <c r="N86" s="263">
        <v>0.79166666666666663</v>
      </c>
      <c r="O86" s="264" t="s">
        <v>141</v>
      </c>
      <c r="P86" s="264">
        <v>62.000498463072191</v>
      </c>
      <c r="Q86" s="264" t="s">
        <v>141</v>
      </c>
      <c r="R86" s="264">
        <f>2.4074*P86-121.26</f>
        <v>27.999999999999986</v>
      </c>
      <c r="S86" s="187"/>
    </row>
    <row r="87" spans="2:19" x14ac:dyDescent="0.25">
      <c r="B87" s="241"/>
      <c r="C87" s="224"/>
      <c r="D87" s="225"/>
      <c r="E87" s="222"/>
      <c r="F87" s="222"/>
      <c r="G87" s="222"/>
      <c r="H87" s="222"/>
      <c r="I87" s="222"/>
      <c r="J87" s="222"/>
      <c r="K87" s="223"/>
      <c r="L87" s="221"/>
      <c r="M87" s="262">
        <v>38942</v>
      </c>
      <c r="N87" s="263">
        <v>0.54166666666666663</v>
      </c>
      <c r="O87" s="264">
        <v>58.926642851208776</v>
      </c>
      <c r="P87" s="264" t="s">
        <v>141</v>
      </c>
      <c r="Q87" s="264">
        <f>2.4074*O87-121.26</f>
        <v>20.600000000000009</v>
      </c>
      <c r="R87" s="264" t="s">
        <v>141</v>
      </c>
      <c r="S87" s="187"/>
    </row>
    <row r="88" spans="2:19" x14ac:dyDescent="0.25">
      <c r="B88" s="241"/>
      <c r="C88" s="224"/>
      <c r="D88" s="225"/>
      <c r="E88" s="222"/>
      <c r="F88" s="222"/>
      <c r="G88" s="222"/>
      <c r="H88" s="222"/>
      <c r="I88" s="222"/>
      <c r="J88" s="222"/>
      <c r="K88" s="223"/>
      <c r="L88" s="221"/>
      <c r="M88" s="262">
        <v>38942</v>
      </c>
      <c r="N88" s="263">
        <v>0.79166666666666663</v>
      </c>
      <c r="O88" s="264" t="s">
        <v>141</v>
      </c>
      <c r="P88" s="264">
        <v>61.502035390878127</v>
      </c>
      <c r="Q88" s="264" t="s">
        <v>141</v>
      </c>
      <c r="R88" s="264">
        <f>2.4074*P88-121.26</f>
        <v>26.799999999999997</v>
      </c>
      <c r="S88" s="187"/>
    </row>
    <row r="89" spans="2:19" x14ac:dyDescent="0.25">
      <c r="B89" s="241"/>
      <c r="C89" s="224"/>
      <c r="D89" s="225"/>
      <c r="E89" s="222"/>
      <c r="F89" s="222"/>
      <c r="G89" s="222"/>
      <c r="H89" s="222"/>
      <c r="I89" s="222"/>
      <c r="J89" s="222"/>
      <c r="K89" s="223"/>
      <c r="L89" s="221"/>
      <c r="M89" s="262">
        <v>38943</v>
      </c>
      <c r="N89" s="263">
        <v>0.29166666666666669</v>
      </c>
      <c r="O89" s="264">
        <v>59.09279720860679</v>
      </c>
      <c r="P89" s="264" t="s">
        <v>141</v>
      </c>
      <c r="Q89" s="264">
        <f>2.4074*O89-121.26</f>
        <v>20.999999999999986</v>
      </c>
      <c r="R89" s="264" t="s">
        <v>141</v>
      </c>
      <c r="S89" s="187"/>
    </row>
    <row r="90" spans="2:19" x14ac:dyDescent="0.25">
      <c r="B90" s="241"/>
      <c r="C90" s="224"/>
      <c r="D90" s="225"/>
      <c r="E90" s="222"/>
      <c r="F90" s="222"/>
      <c r="G90" s="222"/>
      <c r="H90" s="222"/>
      <c r="I90" s="222"/>
      <c r="J90" s="222"/>
      <c r="K90" s="223"/>
      <c r="L90" s="221"/>
      <c r="M90" s="262">
        <v>38943</v>
      </c>
      <c r="N90" s="263">
        <v>0.70833333333333337</v>
      </c>
      <c r="O90" s="264" t="s">
        <v>141</v>
      </c>
      <c r="P90" s="264">
        <v>61.834344105674177</v>
      </c>
      <c r="Q90" s="264" t="s">
        <v>141</v>
      </c>
      <c r="R90" s="264">
        <f>2.4074*P90-121.26</f>
        <v>27.600000000000009</v>
      </c>
      <c r="S90" s="187"/>
    </row>
    <row r="91" spans="2:19" x14ac:dyDescent="0.25">
      <c r="B91" s="241"/>
      <c r="C91" s="224"/>
      <c r="D91" s="225"/>
      <c r="E91" s="222"/>
      <c r="F91" s="222"/>
      <c r="G91" s="222"/>
      <c r="H91" s="222"/>
      <c r="I91" s="222"/>
      <c r="J91" s="222"/>
      <c r="K91" s="223"/>
      <c r="L91" s="221"/>
      <c r="M91" s="262">
        <v>38944</v>
      </c>
      <c r="N91" s="263">
        <v>0.375</v>
      </c>
      <c r="O91" s="264">
        <v>58.802027083160255</v>
      </c>
      <c r="P91" s="264" t="s">
        <v>141</v>
      </c>
      <c r="Q91" s="264">
        <f>2.4074*O91-121.26</f>
        <v>20.299999999999997</v>
      </c>
      <c r="R91" s="264" t="s">
        <v>141</v>
      </c>
      <c r="S91" s="187"/>
    </row>
    <row r="92" spans="2:19" x14ac:dyDescent="0.25">
      <c r="B92" s="241"/>
      <c r="C92" s="224"/>
      <c r="D92" s="225"/>
      <c r="E92" s="222"/>
      <c r="F92" s="222"/>
      <c r="G92" s="222"/>
      <c r="H92" s="222"/>
      <c r="I92" s="222"/>
      <c r="J92" s="222"/>
      <c r="K92" s="223"/>
      <c r="L92" s="221"/>
      <c r="M92" s="262">
        <v>38944</v>
      </c>
      <c r="N92" s="263">
        <v>0.70833333333333337</v>
      </c>
      <c r="O92" s="264" t="s">
        <v>141</v>
      </c>
      <c r="P92" s="264">
        <v>62.000498463072191</v>
      </c>
      <c r="Q92" s="264" t="s">
        <v>141</v>
      </c>
      <c r="R92" s="264">
        <f>2.4074*P92-121.26</f>
        <v>27.999999999999986</v>
      </c>
      <c r="S92" s="187"/>
    </row>
    <row r="93" spans="2:19" x14ac:dyDescent="0.25">
      <c r="B93" s="241"/>
      <c r="C93" s="224"/>
      <c r="D93" s="225"/>
      <c r="E93" s="222"/>
      <c r="F93" s="222"/>
      <c r="G93" s="222"/>
      <c r="H93" s="222"/>
      <c r="I93" s="222"/>
      <c r="J93" s="222"/>
      <c r="K93" s="223"/>
      <c r="L93" s="221"/>
      <c r="M93" s="262">
        <v>38945</v>
      </c>
      <c r="N93" s="263">
        <v>0.375</v>
      </c>
      <c r="O93" s="264">
        <v>58.926642851208776</v>
      </c>
      <c r="P93" s="264" t="s">
        <v>141</v>
      </c>
      <c r="Q93" s="264">
        <f>2.4074*O93-121.26</f>
        <v>20.600000000000009</v>
      </c>
      <c r="R93" s="264" t="s">
        <v>141</v>
      </c>
      <c r="S93" s="187"/>
    </row>
    <row r="94" spans="2:19" x14ac:dyDescent="0.25">
      <c r="B94" s="241"/>
      <c r="C94" s="224"/>
      <c r="D94" s="225"/>
      <c r="E94" s="222"/>
      <c r="F94" s="222"/>
      <c r="G94" s="222"/>
      <c r="H94" s="222"/>
      <c r="I94" s="222"/>
      <c r="J94" s="222"/>
      <c r="K94" s="223"/>
      <c r="L94" s="221"/>
      <c r="M94" s="262">
        <v>38945</v>
      </c>
      <c r="N94" s="263">
        <v>0.70833333333333337</v>
      </c>
      <c r="O94" s="264" t="s">
        <v>141</v>
      </c>
      <c r="P94" s="264">
        <v>61.875882695023684</v>
      </c>
      <c r="Q94" s="264" t="s">
        <v>141</v>
      </c>
      <c r="R94" s="264">
        <f>2.4074*P94-121.26</f>
        <v>27.700000000000003</v>
      </c>
      <c r="S94" s="187"/>
    </row>
    <row r="95" spans="2:19" x14ac:dyDescent="0.25">
      <c r="B95" s="241"/>
      <c r="C95" s="224"/>
      <c r="D95" s="225"/>
      <c r="E95" s="222"/>
      <c r="F95" s="222"/>
      <c r="G95" s="222"/>
      <c r="H95" s="222"/>
      <c r="I95" s="222"/>
      <c r="J95" s="222"/>
      <c r="K95" s="223"/>
      <c r="L95" s="221"/>
      <c r="M95" s="262">
        <v>38946</v>
      </c>
      <c r="N95" s="263">
        <v>0.29166666666666669</v>
      </c>
      <c r="O95" s="264">
        <v>58.802027083160255</v>
      </c>
      <c r="P95" s="264" t="s">
        <v>141</v>
      </c>
      <c r="Q95" s="264">
        <f>2.4074*O95-121.26</f>
        <v>20.299999999999997</v>
      </c>
      <c r="R95" s="264" t="s">
        <v>141</v>
      </c>
      <c r="S95" s="187"/>
    </row>
    <row r="96" spans="2:19" x14ac:dyDescent="0.25">
      <c r="B96" s="241"/>
      <c r="C96" s="224"/>
      <c r="D96" s="225"/>
      <c r="E96" s="222"/>
      <c r="F96" s="222"/>
      <c r="G96" s="222"/>
      <c r="H96" s="222"/>
      <c r="I96" s="222"/>
      <c r="J96" s="222"/>
      <c r="K96" s="223"/>
      <c r="L96" s="221"/>
      <c r="M96" s="262">
        <v>38946</v>
      </c>
      <c r="N96" s="263">
        <v>0.625</v>
      </c>
      <c r="O96" s="264" t="s">
        <v>141</v>
      </c>
      <c r="P96" s="264">
        <v>61.958959873722691</v>
      </c>
      <c r="Q96" s="264" t="s">
        <v>141</v>
      </c>
      <c r="R96" s="264">
        <f>2.4074*P96-121.26</f>
        <v>27.899999999999991</v>
      </c>
      <c r="S96" s="187"/>
    </row>
    <row r="97" spans="1:102" x14ac:dyDescent="0.25">
      <c r="B97" s="241"/>
      <c r="C97" s="224"/>
      <c r="D97" s="225"/>
      <c r="E97" s="222"/>
      <c r="F97" s="222"/>
      <c r="G97" s="222"/>
      <c r="H97" s="222"/>
      <c r="I97" s="222"/>
      <c r="J97" s="222"/>
      <c r="K97" s="223"/>
      <c r="L97" s="221"/>
      <c r="M97" s="262">
        <v>38947</v>
      </c>
      <c r="N97" s="263">
        <v>0.29166666666666669</v>
      </c>
      <c r="O97" s="264">
        <v>59.383567334053339</v>
      </c>
      <c r="P97" s="264" t="s">
        <v>141</v>
      </c>
      <c r="Q97" s="264">
        <f>2.4074*O97-121.26</f>
        <v>21.700000000000003</v>
      </c>
      <c r="R97" s="264" t="s">
        <v>141</v>
      </c>
      <c r="S97" s="187"/>
    </row>
    <row r="98" spans="1:102" x14ac:dyDescent="0.25">
      <c r="B98" s="241"/>
      <c r="C98" s="224"/>
      <c r="D98" s="225"/>
      <c r="E98" s="222"/>
      <c r="F98" s="222"/>
      <c r="G98" s="222"/>
      <c r="H98" s="222"/>
      <c r="I98" s="222"/>
      <c r="J98" s="222"/>
      <c r="K98" s="223"/>
      <c r="L98" s="221"/>
      <c r="M98" s="262">
        <v>38947</v>
      </c>
      <c r="N98" s="263">
        <v>0.45833333333333331</v>
      </c>
      <c r="O98" s="264" t="s">
        <v>141</v>
      </c>
      <c r="P98" s="264">
        <v>61.834344105674177</v>
      </c>
      <c r="Q98" s="264" t="s">
        <v>141</v>
      </c>
      <c r="R98" s="264">
        <f>2.4074*P98-121.26</f>
        <v>27.600000000000009</v>
      </c>
      <c r="S98" s="187"/>
    </row>
    <row r="99" spans="1:102" x14ac:dyDescent="0.25">
      <c r="B99" s="241"/>
      <c r="C99" s="224"/>
      <c r="D99" s="225"/>
      <c r="E99" s="222"/>
      <c r="F99" s="222"/>
      <c r="G99" s="222"/>
      <c r="H99" s="222"/>
      <c r="I99" s="222"/>
      <c r="J99" s="222"/>
      <c r="K99" s="223"/>
      <c r="L99" s="221"/>
      <c r="M99" s="262">
        <v>38948</v>
      </c>
      <c r="N99" s="263">
        <v>1.1041666666666667</v>
      </c>
      <c r="O99" s="264">
        <v>58.677411315111733</v>
      </c>
      <c r="P99" s="264" t="s">
        <v>141</v>
      </c>
      <c r="Q99" s="264">
        <f>2.4074*O99-121.26</f>
        <v>19.999999999999986</v>
      </c>
      <c r="R99" s="264" t="s">
        <v>141</v>
      </c>
      <c r="S99" s="187"/>
    </row>
    <row r="100" spans="1:102" x14ac:dyDescent="0.25">
      <c r="B100" s="241"/>
      <c r="C100" s="224"/>
      <c r="D100" s="225"/>
      <c r="E100" s="222"/>
      <c r="F100" s="222"/>
      <c r="G100" s="222"/>
      <c r="H100" s="222"/>
      <c r="I100" s="222"/>
      <c r="J100" s="222"/>
      <c r="K100" s="223"/>
      <c r="L100" s="221"/>
      <c r="M100" s="262">
        <v>38948</v>
      </c>
      <c r="N100" s="263">
        <v>0.625</v>
      </c>
      <c r="O100" s="264" t="s">
        <v>141</v>
      </c>
      <c r="P100" s="264">
        <v>61.792805516324663</v>
      </c>
      <c r="Q100" s="264" t="s">
        <v>141</v>
      </c>
      <c r="R100" s="264">
        <f>2.4074*P100-121.26</f>
        <v>27.499999999999986</v>
      </c>
      <c r="S100" s="187"/>
    </row>
    <row r="101" spans="1:102" x14ac:dyDescent="0.25">
      <c r="B101" s="241"/>
      <c r="C101" s="224"/>
      <c r="D101" s="225"/>
      <c r="E101" s="222"/>
      <c r="F101" s="222"/>
      <c r="G101" s="222"/>
      <c r="H101" s="222"/>
      <c r="I101" s="222"/>
      <c r="J101" s="222"/>
      <c r="K101" s="223"/>
      <c r="L101" s="221"/>
      <c r="M101" s="262">
        <v>38949</v>
      </c>
      <c r="N101" s="263">
        <v>0.25</v>
      </c>
      <c r="O101" s="264">
        <v>58.968181440558283</v>
      </c>
      <c r="P101" s="264" t="s">
        <v>141</v>
      </c>
      <c r="Q101" s="264">
        <f>2.4074*O101-121.26</f>
        <v>20.700000000000003</v>
      </c>
      <c r="R101" s="264" t="s">
        <v>141</v>
      </c>
      <c r="S101" s="187"/>
    </row>
    <row r="102" spans="1:102" x14ac:dyDescent="0.25">
      <c r="B102" s="241"/>
      <c r="C102" s="224"/>
      <c r="D102" s="225"/>
      <c r="E102" s="222"/>
      <c r="F102" s="222"/>
      <c r="G102" s="222"/>
      <c r="H102" s="222"/>
      <c r="I102" s="222"/>
      <c r="J102" s="222"/>
      <c r="K102" s="223"/>
      <c r="L102" s="221"/>
      <c r="M102" s="262">
        <v>38949</v>
      </c>
      <c r="N102" s="263">
        <v>0.41666666666666669</v>
      </c>
      <c r="O102" s="264" t="s">
        <v>141</v>
      </c>
      <c r="P102" s="264">
        <v>61.543573980227627</v>
      </c>
      <c r="Q102" s="264" t="s">
        <v>141</v>
      </c>
      <c r="R102" s="264">
        <f>2.4074*P102-121.26</f>
        <v>26.899999999999991</v>
      </c>
      <c r="S102" s="187"/>
    </row>
    <row r="103" spans="1:102" x14ac:dyDescent="0.25">
      <c r="B103" s="241"/>
      <c r="C103" s="224"/>
      <c r="D103" s="225"/>
      <c r="E103" s="222"/>
      <c r="F103" s="222"/>
      <c r="G103" s="222"/>
      <c r="H103" s="222"/>
      <c r="I103" s="222"/>
      <c r="J103" s="222"/>
      <c r="K103" s="223"/>
      <c r="L103" s="221"/>
      <c r="M103" s="262">
        <v>38949</v>
      </c>
      <c r="N103" s="263">
        <v>0.75</v>
      </c>
      <c r="O103" s="264">
        <v>58.885104261859261</v>
      </c>
      <c r="P103" s="264" t="s">
        <v>141</v>
      </c>
      <c r="Q103" s="264">
        <f>2.4074*O103-121.26</f>
        <v>20.499999999999986</v>
      </c>
      <c r="R103" s="264" t="s">
        <v>141</v>
      </c>
      <c r="S103" s="187"/>
    </row>
    <row r="104" spans="1:102" x14ac:dyDescent="0.25">
      <c r="B104" s="241"/>
      <c r="C104" s="224"/>
      <c r="D104" s="225"/>
      <c r="E104" s="222"/>
      <c r="F104" s="222"/>
      <c r="G104" s="222"/>
      <c r="H104" s="222"/>
      <c r="I104" s="222"/>
      <c r="J104" s="222"/>
      <c r="K104" s="223"/>
      <c r="L104" s="221"/>
      <c r="M104" s="262">
        <v>38949</v>
      </c>
      <c r="N104" s="263">
        <v>0.875</v>
      </c>
      <c r="O104" s="264" t="s">
        <v>141</v>
      </c>
      <c r="P104" s="264">
        <v>60.920495139985043</v>
      </c>
      <c r="Q104" s="264" t="s">
        <v>141</v>
      </c>
      <c r="R104" s="264">
        <f>2.4074*P104-121.26</f>
        <v>25.399999999999991</v>
      </c>
      <c r="S104" s="187"/>
    </row>
    <row r="105" spans="1:102" x14ac:dyDescent="0.25">
      <c r="B105" s="241"/>
      <c r="C105" s="226"/>
      <c r="D105" s="471"/>
      <c r="E105" s="470" t="s">
        <v>163</v>
      </c>
      <c r="F105" s="470"/>
      <c r="G105" s="470"/>
      <c r="H105" s="470"/>
      <c r="I105" s="470"/>
      <c r="J105" s="470"/>
      <c r="K105" s="228"/>
      <c r="L105" s="221"/>
      <c r="M105" s="298"/>
      <c r="N105" s="299"/>
      <c r="O105" s="300"/>
      <c r="P105" s="300"/>
      <c r="Q105" s="300"/>
      <c r="R105" s="300"/>
      <c r="S105" s="187"/>
    </row>
    <row r="106" spans="1:102" ht="13" thickBot="1" x14ac:dyDescent="0.3">
      <c r="B106" s="210"/>
      <c r="C106" s="211"/>
      <c r="D106" s="211"/>
      <c r="E106" s="211"/>
      <c r="F106" s="211"/>
      <c r="G106" s="211"/>
      <c r="H106" s="211"/>
      <c r="I106" s="211"/>
      <c r="J106" s="211"/>
      <c r="K106" s="211"/>
      <c r="L106" s="211"/>
      <c r="M106" s="211"/>
      <c r="N106" s="211"/>
      <c r="O106" s="211"/>
      <c r="P106" s="211"/>
      <c r="Q106" s="211"/>
      <c r="R106" s="211"/>
      <c r="S106" s="218"/>
    </row>
    <row r="107" spans="1:102" s="184" customFormat="1" ht="16" thickBot="1" x14ac:dyDescent="0.4">
      <c r="A107" s="187"/>
      <c r="B107" s="178" t="s">
        <v>143</v>
      </c>
      <c r="C107" s="179"/>
      <c r="D107" s="179"/>
      <c r="E107" s="179"/>
      <c r="F107" s="179"/>
      <c r="G107" s="179"/>
      <c r="H107" s="179"/>
      <c r="I107" s="179"/>
      <c r="J107" s="179"/>
      <c r="K107" s="180"/>
      <c r="L107" s="181"/>
      <c r="M107" s="181"/>
      <c r="N107" s="181"/>
      <c r="O107" s="181"/>
      <c r="P107" s="181"/>
      <c r="Q107" s="181"/>
      <c r="R107" s="181"/>
      <c r="S107" s="182"/>
      <c r="T107" s="173"/>
      <c r="U107" s="173"/>
      <c r="V107" s="173"/>
      <c r="W107" s="173"/>
      <c r="X107" s="173"/>
      <c r="Y107" s="173"/>
      <c r="Z107" s="173"/>
      <c r="AA107" s="173"/>
      <c r="AB107" s="173"/>
      <c r="AC107" s="173"/>
      <c r="AD107" s="173"/>
      <c r="AE107" s="173"/>
      <c r="AF107" s="173"/>
      <c r="AG107" s="173"/>
      <c r="AH107" s="173"/>
      <c r="AI107" s="173"/>
      <c r="AJ107" s="173"/>
      <c r="AK107" s="173"/>
      <c r="AL107" s="173"/>
      <c r="AM107" s="173"/>
      <c r="AN107" s="173"/>
      <c r="AO107" s="173"/>
      <c r="AP107" s="173"/>
      <c r="AQ107" s="173"/>
      <c r="AR107" s="173"/>
      <c r="AS107" s="173"/>
      <c r="AT107" s="173"/>
      <c r="AU107" s="173"/>
      <c r="AV107" s="173"/>
      <c r="AW107" s="173"/>
      <c r="AX107" s="173"/>
      <c r="AY107" s="173"/>
      <c r="AZ107" s="173"/>
      <c r="BA107" s="173"/>
      <c r="BB107" s="173"/>
      <c r="BC107" s="173"/>
      <c r="BD107" s="173"/>
      <c r="BE107" s="173"/>
      <c r="BF107" s="173"/>
      <c r="BG107" s="173"/>
      <c r="BH107" s="173"/>
      <c r="BI107" s="173"/>
      <c r="BJ107" s="173"/>
      <c r="BK107" s="173"/>
      <c r="BL107" s="173"/>
      <c r="BM107" s="173"/>
      <c r="BN107" s="173"/>
      <c r="BO107" s="173"/>
      <c r="BP107" s="173"/>
      <c r="BQ107" s="173"/>
      <c r="BR107" s="173"/>
      <c r="BS107" s="173"/>
      <c r="BT107" s="173"/>
      <c r="BU107" s="173"/>
      <c r="BV107" s="173"/>
      <c r="BW107" s="173"/>
      <c r="BX107" s="173"/>
      <c r="BY107" s="173"/>
      <c r="BZ107" s="173"/>
      <c r="CA107" s="173"/>
      <c r="CB107" s="173"/>
      <c r="CC107" s="173"/>
      <c r="CD107" s="173"/>
      <c r="CE107" s="173"/>
      <c r="CF107" s="173"/>
      <c r="CG107" s="173"/>
      <c r="CH107" s="173"/>
      <c r="CI107" s="173"/>
      <c r="CJ107" s="173"/>
      <c r="CK107" s="173"/>
      <c r="CL107" s="173"/>
      <c r="CM107" s="173"/>
      <c r="CN107" s="173"/>
      <c r="CO107" s="173"/>
      <c r="CP107" s="173"/>
      <c r="CQ107" s="173"/>
      <c r="CR107" s="173"/>
      <c r="CS107" s="173"/>
      <c r="CT107" s="173"/>
      <c r="CU107" s="173"/>
      <c r="CV107" s="173"/>
      <c r="CW107" s="173"/>
      <c r="CX107" s="173"/>
    </row>
    <row r="108" spans="1:102" x14ac:dyDescent="0.25">
      <c r="B108" s="462"/>
      <c r="C108" s="463" t="s">
        <v>246</v>
      </c>
      <c r="D108" s="460"/>
      <c r="E108" s="460"/>
      <c r="F108" s="460"/>
      <c r="G108" s="460"/>
      <c r="H108" s="460"/>
      <c r="I108" s="460"/>
      <c r="J108" s="460"/>
      <c r="K108" s="460"/>
      <c r="L108" s="460"/>
      <c r="M108" s="460"/>
      <c r="N108" s="460"/>
      <c r="O108" s="460"/>
      <c r="P108" s="460"/>
      <c r="Q108" s="460"/>
      <c r="R108" s="460"/>
      <c r="S108" s="461"/>
    </row>
    <row r="109" spans="1:102" x14ac:dyDescent="0.25">
      <c r="B109" s="454"/>
      <c r="C109" s="459" t="s">
        <v>247</v>
      </c>
      <c r="D109" s="455"/>
      <c r="E109" s="455"/>
      <c r="F109" s="455"/>
      <c r="G109" s="455"/>
      <c r="H109" s="455"/>
      <c r="I109" s="455"/>
      <c r="J109" s="455"/>
      <c r="K109" s="455"/>
      <c r="L109" s="455"/>
      <c r="M109" s="455"/>
      <c r="N109" s="455"/>
      <c r="O109" s="455"/>
      <c r="P109" s="455"/>
      <c r="Q109" s="455"/>
      <c r="R109" s="455"/>
      <c r="S109" s="456"/>
    </row>
    <row r="110" spans="1:102" x14ac:dyDescent="0.25">
      <c r="B110" s="454"/>
      <c r="C110" s="459" t="s">
        <v>248</v>
      </c>
      <c r="D110" s="455"/>
      <c r="E110" s="455"/>
      <c r="F110" s="455"/>
      <c r="G110" s="455"/>
      <c r="H110" s="455"/>
      <c r="I110" s="455"/>
      <c r="J110" s="455"/>
      <c r="K110" s="455"/>
      <c r="L110" s="455"/>
      <c r="M110" s="455"/>
      <c r="N110" s="455"/>
      <c r="O110" s="455"/>
      <c r="P110" s="455"/>
      <c r="Q110" s="455"/>
      <c r="R110" s="455"/>
      <c r="S110" s="456"/>
    </row>
    <row r="111" spans="1:102" x14ac:dyDescent="0.25">
      <c r="B111" s="241"/>
      <c r="C111" s="173"/>
      <c r="D111" s="173"/>
      <c r="E111" s="173"/>
      <c r="F111" s="173"/>
      <c r="G111" s="173"/>
      <c r="H111" s="173"/>
      <c r="I111" s="173"/>
      <c r="J111" s="173"/>
      <c r="K111" s="173"/>
      <c r="L111" s="173"/>
      <c r="M111" s="173"/>
      <c r="N111" s="173"/>
      <c r="O111" s="173"/>
      <c r="P111" s="173"/>
      <c r="Q111" s="173"/>
      <c r="R111" s="173"/>
      <c r="S111" s="187"/>
    </row>
    <row r="112" spans="1:102" ht="12.75" customHeight="1" x14ac:dyDescent="0.25">
      <c r="B112" s="241"/>
      <c r="C112" s="464" t="s">
        <v>249</v>
      </c>
      <c r="D112" s="464"/>
      <c r="E112" s="464"/>
      <c r="F112" s="464"/>
      <c r="G112" s="464"/>
      <c r="H112" s="464"/>
      <c r="I112" s="464"/>
      <c r="J112" s="464"/>
      <c r="K112" s="173"/>
      <c r="L112" s="465" t="s">
        <v>252</v>
      </c>
      <c r="M112" s="467"/>
      <c r="N112" s="467"/>
      <c r="O112" s="467"/>
      <c r="P112" s="467"/>
      <c r="Q112" s="467"/>
      <c r="R112" s="467"/>
      <c r="S112" s="187"/>
    </row>
    <row r="113" spans="2:19" ht="13" x14ac:dyDescent="0.25">
      <c r="B113" s="241"/>
      <c r="C113" s="465" t="s">
        <v>250</v>
      </c>
      <c r="D113" s="464"/>
      <c r="E113" s="464"/>
      <c r="F113" s="464"/>
      <c r="G113" s="464"/>
      <c r="H113" s="464"/>
      <c r="I113" s="464"/>
      <c r="J113" s="464"/>
      <c r="K113" s="173"/>
      <c r="L113" s="467" t="s">
        <v>253</v>
      </c>
      <c r="M113" s="467"/>
      <c r="N113" s="467"/>
      <c r="O113" s="467"/>
      <c r="P113" s="467"/>
      <c r="Q113" s="467"/>
      <c r="R113" s="467"/>
      <c r="S113" s="187"/>
    </row>
    <row r="114" spans="2:19" ht="13" x14ac:dyDescent="0.25">
      <c r="B114" s="241"/>
      <c r="C114" s="465" t="s">
        <v>251</v>
      </c>
      <c r="D114" s="464"/>
      <c r="E114" s="464"/>
      <c r="F114" s="464"/>
      <c r="G114" s="464"/>
      <c r="H114" s="464"/>
      <c r="I114" s="464"/>
      <c r="J114" s="464"/>
      <c r="K114" s="173"/>
      <c r="L114" s="467"/>
      <c r="M114" s="467"/>
      <c r="N114" s="467"/>
      <c r="O114" s="467"/>
      <c r="P114" s="467"/>
      <c r="Q114" s="467"/>
      <c r="R114" s="467"/>
      <c r="S114" s="187"/>
    </row>
    <row r="115" spans="2:19" x14ac:dyDescent="0.25">
      <c r="B115" s="241"/>
      <c r="C115" s="173"/>
      <c r="D115" s="173"/>
      <c r="E115" s="173"/>
      <c r="F115" s="173"/>
      <c r="G115" s="173"/>
      <c r="H115" s="173"/>
      <c r="I115" s="173"/>
      <c r="J115" s="173"/>
      <c r="K115" s="173"/>
      <c r="L115" s="173"/>
      <c r="M115" s="173"/>
      <c r="N115" s="173"/>
      <c r="O115" s="173"/>
      <c r="P115" s="173"/>
      <c r="Q115" s="173"/>
      <c r="R115" s="173"/>
      <c r="S115" s="187"/>
    </row>
    <row r="116" spans="2:19" x14ac:dyDescent="0.25">
      <c r="B116" s="241"/>
      <c r="C116" s="173"/>
      <c r="D116" s="173"/>
      <c r="E116" s="173"/>
      <c r="F116" s="173"/>
      <c r="G116" s="173"/>
      <c r="H116" s="173"/>
      <c r="I116" s="173"/>
      <c r="J116" s="173"/>
      <c r="K116" s="173"/>
      <c r="L116" s="173"/>
      <c r="M116" s="173"/>
      <c r="N116" s="173"/>
      <c r="O116" s="173"/>
      <c r="P116" s="173"/>
      <c r="Q116" s="173"/>
      <c r="R116" s="173"/>
      <c r="S116" s="187"/>
    </row>
    <row r="117" spans="2:19" x14ac:dyDescent="0.25">
      <c r="B117" s="241"/>
      <c r="C117" s="173"/>
      <c r="D117" s="173"/>
      <c r="E117" s="173"/>
      <c r="F117" s="173"/>
      <c r="G117" s="173"/>
      <c r="H117" s="173"/>
      <c r="I117" s="173"/>
      <c r="J117" s="173"/>
      <c r="K117" s="173"/>
      <c r="L117" s="173"/>
      <c r="M117" s="173"/>
      <c r="N117" s="173"/>
      <c r="O117" s="173"/>
      <c r="P117" s="173"/>
      <c r="Q117" s="173"/>
      <c r="R117" s="173"/>
      <c r="S117" s="187"/>
    </row>
    <row r="118" spans="2:19" x14ac:dyDescent="0.25">
      <c r="B118" s="241"/>
      <c r="C118" s="173"/>
      <c r="D118" s="173"/>
      <c r="E118" s="173"/>
      <c r="F118" s="173"/>
      <c r="G118" s="173"/>
      <c r="H118" s="173"/>
      <c r="I118" s="173"/>
      <c r="J118" s="173"/>
      <c r="K118" s="173"/>
      <c r="L118" s="173"/>
      <c r="M118" s="173"/>
      <c r="N118" s="173"/>
      <c r="O118" s="173"/>
      <c r="P118" s="173"/>
      <c r="Q118" s="173"/>
      <c r="R118" s="173"/>
      <c r="S118" s="187"/>
    </row>
    <row r="119" spans="2:19" x14ac:dyDescent="0.25">
      <c r="B119" s="241"/>
      <c r="C119" s="173"/>
      <c r="D119" s="173"/>
      <c r="E119" s="173"/>
      <c r="F119" s="173"/>
      <c r="G119" s="173"/>
      <c r="H119" s="173"/>
      <c r="I119" s="173"/>
      <c r="J119" s="173"/>
      <c r="K119" s="173"/>
      <c r="L119" s="173"/>
      <c r="M119" s="173"/>
      <c r="N119" s="173"/>
      <c r="O119" s="173"/>
      <c r="P119" s="173"/>
      <c r="Q119" s="173"/>
      <c r="R119" s="173"/>
      <c r="S119" s="187"/>
    </row>
    <row r="120" spans="2:19" x14ac:dyDescent="0.25">
      <c r="B120" s="241"/>
      <c r="C120" s="173"/>
      <c r="D120" s="173"/>
      <c r="E120" s="173"/>
      <c r="F120" s="173"/>
      <c r="G120" s="173"/>
      <c r="H120" s="173"/>
      <c r="I120" s="173"/>
      <c r="J120" s="173"/>
      <c r="K120" s="173"/>
      <c r="L120" s="173"/>
      <c r="M120" s="173"/>
      <c r="N120" s="173"/>
      <c r="O120" s="173"/>
      <c r="P120" s="173"/>
      <c r="Q120" s="173"/>
      <c r="R120" s="173"/>
      <c r="S120" s="187"/>
    </row>
    <row r="121" spans="2:19" x14ac:dyDescent="0.25">
      <c r="B121" s="241"/>
      <c r="C121" s="173"/>
      <c r="D121" s="173"/>
      <c r="E121" s="173"/>
      <c r="F121" s="173"/>
      <c r="G121" s="173"/>
      <c r="H121" s="173"/>
      <c r="I121" s="173"/>
      <c r="J121" s="173"/>
      <c r="K121" s="173"/>
      <c r="L121" s="173"/>
      <c r="M121" s="173"/>
      <c r="N121" s="173"/>
      <c r="O121" s="173"/>
      <c r="P121" s="173"/>
      <c r="Q121" s="173"/>
      <c r="R121" s="173"/>
      <c r="S121" s="187"/>
    </row>
    <row r="122" spans="2:19" x14ac:dyDescent="0.25">
      <c r="B122" s="241"/>
      <c r="C122" s="173"/>
      <c r="D122" s="173"/>
      <c r="E122" s="173"/>
      <c r="F122" s="173"/>
      <c r="G122" s="173"/>
      <c r="H122" s="173"/>
      <c r="I122" s="173"/>
      <c r="J122" s="173"/>
      <c r="K122" s="173"/>
      <c r="L122" s="173"/>
      <c r="M122" s="173"/>
      <c r="N122" s="173"/>
      <c r="O122" s="173"/>
      <c r="P122" s="173"/>
      <c r="Q122" s="173"/>
      <c r="R122" s="173"/>
      <c r="S122" s="187"/>
    </row>
    <row r="123" spans="2:19" x14ac:dyDescent="0.25">
      <c r="B123" s="241"/>
      <c r="C123" s="173"/>
      <c r="D123" s="173"/>
      <c r="E123" s="173"/>
      <c r="F123" s="173"/>
      <c r="G123" s="173"/>
      <c r="H123" s="173"/>
      <c r="I123" s="173"/>
      <c r="J123" s="173"/>
      <c r="K123" s="173"/>
      <c r="L123" s="173"/>
      <c r="M123" s="173"/>
      <c r="N123" s="173"/>
      <c r="O123" s="173"/>
      <c r="P123" s="173"/>
      <c r="Q123" s="173"/>
      <c r="R123" s="173"/>
      <c r="S123" s="187"/>
    </row>
    <row r="124" spans="2:19" x14ac:dyDescent="0.25">
      <c r="B124" s="241"/>
      <c r="C124" s="173"/>
      <c r="D124" s="173"/>
      <c r="E124" s="173"/>
      <c r="F124" s="173"/>
      <c r="G124" s="173"/>
      <c r="H124" s="173"/>
      <c r="I124" s="173"/>
      <c r="J124" s="173"/>
      <c r="K124" s="173"/>
      <c r="L124" s="173"/>
      <c r="M124" s="173"/>
      <c r="N124" s="173"/>
      <c r="O124" s="173"/>
      <c r="P124" s="173"/>
      <c r="Q124" s="173"/>
      <c r="R124" s="173"/>
      <c r="S124" s="187"/>
    </row>
    <row r="125" spans="2:19" x14ac:dyDescent="0.25">
      <c r="B125" s="241"/>
      <c r="C125" s="173"/>
      <c r="D125" s="173"/>
      <c r="E125" s="173"/>
      <c r="F125" s="173"/>
      <c r="G125" s="173"/>
      <c r="H125" s="173"/>
      <c r="I125" s="173"/>
      <c r="J125" s="173"/>
      <c r="K125" s="173"/>
      <c r="L125" s="173"/>
      <c r="M125" s="173"/>
      <c r="N125" s="173"/>
      <c r="O125" s="173"/>
      <c r="P125" s="173"/>
      <c r="Q125" s="173"/>
      <c r="R125" s="173"/>
      <c r="S125" s="187"/>
    </row>
    <row r="126" spans="2:19" x14ac:dyDescent="0.25">
      <c r="B126" s="241"/>
      <c r="C126" s="173"/>
      <c r="D126" s="173"/>
      <c r="E126" s="173"/>
      <c r="F126" s="173"/>
      <c r="G126" s="173"/>
      <c r="H126" s="173"/>
      <c r="I126" s="173"/>
      <c r="J126" s="173"/>
      <c r="K126" s="173"/>
      <c r="L126" s="173"/>
      <c r="M126" s="173"/>
      <c r="N126" s="173"/>
      <c r="O126" s="173"/>
      <c r="P126" s="173"/>
      <c r="Q126" s="173"/>
      <c r="R126" s="173"/>
      <c r="S126" s="187"/>
    </row>
    <row r="127" spans="2:19" x14ac:dyDescent="0.25">
      <c r="B127" s="241"/>
      <c r="C127" s="173"/>
      <c r="D127" s="173"/>
      <c r="E127" s="173"/>
      <c r="F127" s="173"/>
      <c r="G127" s="173"/>
      <c r="H127" s="173"/>
      <c r="I127" s="173"/>
      <c r="J127" s="173"/>
      <c r="K127" s="173"/>
      <c r="L127" s="173"/>
      <c r="M127" s="173"/>
      <c r="N127" s="173"/>
      <c r="O127" s="173"/>
      <c r="P127" s="173"/>
      <c r="Q127" s="173"/>
      <c r="R127" s="173"/>
      <c r="S127" s="187"/>
    </row>
    <row r="128" spans="2:19" x14ac:dyDescent="0.25">
      <c r="B128" s="241"/>
      <c r="C128" s="173"/>
      <c r="D128" s="173"/>
      <c r="E128" s="173"/>
      <c r="F128" s="173"/>
      <c r="G128" s="173"/>
      <c r="H128" s="173"/>
      <c r="I128" s="173"/>
      <c r="J128" s="173"/>
      <c r="K128" s="173"/>
      <c r="L128" s="173"/>
      <c r="M128" s="173"/>
      <c r="N128" s="173"/>
      <c r="O128" s="173"/>
      <c r="P128" s="173"/>
      <c r="Q128" s="173"/>
      <c r="R128" s="173"/>
      <c r="S128" s="187"/>
    </row>
    <row r="129" spans="2:19" x14ac:dyDescent="0.25">
      <c r="B129" s="241"/>
      <c r="C129" s="173"/>
      <c r="D129" s="173"/>
      <c r="E129" s="173"/>
      <c r="F129" s="173"/>
      <c r="G129" s="173"/>
      <c r="H129" s="173"/>
      <c r="I129" s="173"/>
      <c r="J129" s="173"/>
      <c r="K129" s="173"/>
      <c r="L129" s="173"/>
      <c r="M129" s="173"/>
      <c r="N129" s="173"/>
      <c r="O129" s="173"/>
      <c r="P129" s="173"/>
      <c r="Q129" s="173"/>
      <c r="R129" s="173"/>
      <c r="S129" s="187"/>
    </row>
    <row r="130" spans="2:19" x14ac:dyDescent="0.25">
      <c r="B130" s="241"/>
      <c r="C130" s="173"/>
      <c r="D130" s="173"/>
      <c r="E130" s="173"/>
      <c r="F130" s="173"/>
      <c r="G130" s="173"/>
      <c r="H130" s="173"/>
      <c r="I130" s="173"/>
      <c r="J130" s="173"/>
      <c r="K130" s="173"/>
      <c r="L130" s="173"/>
      <c r="M130" s="173"/>
      <c r="N130" s="173"/>
      <c r="O130" s="173"/>
      <c r="P130" s="173"/>
      <c r="Q130" s="173"/>
      <c r="R130" s="173"/>
      <c r="S130" s="187"/>
    </row>
    <row r="131" spans="2:19" x14ac:dyDescent="0.25">
      <c r="B131" s="241"/>
      <c r="C131" s="173"/>
      <c r="D131" s="173"/>
      <c r="E131" s="173"/>
      <c r="F131" s="173"/>
      <c r="G131" s="173"/>
      <c r="H131" s="173"/>
      <c r="I131" s="173"/>
      <c r="J131" s="173"/>
      <c r="K131" s="173"/>
      <c r="L131" s="173"/>
      <c r="M131" s="173"/>
      <c r="N131" s="173"/>
      <c r="O131" s="173"/>
      <c r="P131" s="173"/>
      <c r="Q131" s="173"/>
      <c r="R131" s="173"/>
      <c r="S131" s="187"/>
    </row>
    <row r="132" spans="2:19" x14ac:dyDescent="0.25">
      <c r="B132" s="241"/>
      <c r="C132" s="173"/>
      <c r="D132" s="173"/>
      <c r="E132" s="173"/>
      <c r="F132" s="173"/>
      <c r="G132" s="173"/>
      <c r="H132" s="173"/>
      <c r="I132" s="173"/>
      <c r="J132" s="173"/>
      <c r="K132" s="173"/>
      <c r="L132" s="173"/>
      <c r="M132" s="173"/>
      <c r="N132" s="173"/>
      <c r="O132" s="173"/>
      <c r="P132" s="173"/>
      <c r="Q132" s="173"/>
      <c r="R132" s="173"/>
      <c r="S132" s="187"/>
    </row>
    <row r="133" spans="2:19" x14ac:dyDescent="0.25">
      <c r="B133" s="241"/>
      <c r="C133" s="173"/>
      <c r="D133" s="173"/>
      <c r="E133" s="173"/>
      <c r="F133" s="173"/>
      <c r="G133" s="173"/>
      <c r="H133" s="173"/>
      <c r="I133" s="173"/>
      <c r="J133" s="173"/>
      <c r="K133" s="173"/>
      <c r="L133" s="173"/>
      <c r="M133" s="173"/>
      <c r="N133" s="173"/>
      <c r="O133" s="173"/>
      <c r="P133" s="173"/>
      <c r="Q133" s="173"/>
      <c r="R133" s="173"/>
      <c r="S133" s="187"/>
    </row>
    <row r="134" spans="2:19" x14ac:dyDescent="0.25">
      <c r="B134" s="241"/>
      <c r="C134" s="173"/>
      <c r="D134" s="173"/>
      <c r="E134" s="173"/>
      <c r="F134" s="173"/>
      <c r="G134" s="173"/>
      <c r="H134" s="173"/>
      <c r="I134" s="173"/>
      <c r="J134" s="173"/>
      <c r="K134" s="173"/>
      <c r="L134" s="173"/>
      <c r="M134" s="173"/>
      <c r="N134" s="173"/>
      <c r="O134" s="173"/>
      <c r="P134" s="173"/>
      <c r="Q134" s="173"/>
      <c r="R134" s="173"/>
      <c r="S134" s="187"/>
    </row>
    <row r="135" spans="2:19" x14ac:dyDescent="0.25">
      <c r="B135" s="241"/>
      <c r="C135" s="173"/>
      <c r="D135" s="173"/>
      <c r="E135" s="173"/>
      <c r="F135" s="173"/>
      <c r="G135" s="173"/>
      <c r="H135" s="173"/>
      <c r="I135" s="173"/>
      <c r="J135" s="173"/>
      <c r="K135" s="173"/>
      <c r="L135" s="173"/>
      <c r="M135" s="173"/>
      <c r="N135" s="173"/>
      <c r="O135" s="173"/>
      <c r="P135" s="173"/>
      <c r="Q135" s="173"/>
      <c r="R135" s="173"/>
      <c r="S135" s="187"/>
    </row>
    <row r="136" spans="2:19" ht="12.75" customHeight="1" x14ac:dyDescent="0.25">
      <c r="B136" s="241"/>
      <c r="C136" s="465" t="s">
        <v>254</v>
      </c>
      <c r="D136" s="467"/>
      <c r="E136" s="467"/>
      <c r="F136" s="467"/>
      <c r="G136" s="467"/>
      <c r="H136" s="467"/>
      <c r="I136" s="467"/>
      <c r="J136" s="467"/>
      <c r="K136" s="173"/>
      <c r="L136" s="466"/>
      <c r="M136" s="469"/>
      <c r="N136" s="469"/>
      <c r="O136" s="469"/>
      <c r="P136" s="469"/>
      <c r="Q136" s="469"/>
      <c r="R136" s="469"/>
      <c r="S136" s="187"/>
    </row>
    <row r="137" spans="2:19" x14ac:dyDescent="0.25">
      <c r="B137" s="241"/>
      <c r="C137" s="465" t="s">
        <v>255</v>
      </c>
      <c r="D137" s="467"/>
      <c r="E137" s="467"/>
      <c r="F137" s="467"/>
      <c r="G137" s="467"/>
      <c r="H137" s="467"/>
      <c r="I137" s="467"/>
      <c r="J137" s="467"/>
      <c r="K137" s="173"/>
      <c r="L137" s="469"/>
      <c r="M137" s="469"/>
      <c r="N137" s="469"/>
      <c r="O137" s="469"/>
      <c r="P137" s="469"/>
      <c r="Q137" s="469"/>
      <c r="R137" s="469"/>
      <c r="S137" s="187"/>
    </row>
    <row r="138" spans="2:19" x14ac:dyDescent="0.25">
      <c r="B138" s="241"/>
      <c r="C138" s="465" t="s">
        <v>256</v>
      </c>
      <c r="D138" s="467"/>
      <c r="E138" s="467"/>
      <c r="F138" s="467"/>
      <c r="G138" s="467"/>
      <c r="H138" s="467"/>
      <c r="I138" s="467"/>
      <c r="J138" s="467"/>
      <c r="K138" s="173"/>
      <c r="L138" s="173"/>
      <c r="M138" s="173"/>
      <c r="N138" s="173"/>
      <c r="O138" s="173"/>
      <c r="P138" s="173"/>
      <c r="Q138" s="173"/>
      <c r="R138" s="173"/>
      <c r="S138" s="187"/>
    </row>
    <row r="139" spans="2:19" x14ac:dyDescent="0.25">
      <c r="B139" s="241"/>
      <c r="C139" s="467" t="s">
        <v>257</v>
      </c>
      <c r="D139" s="467"/>
      <c r="E139" s="467"/>
      <c r="F139" s="467"/>
      <c r="G139" s="467"/>
      <c r="H139" s="467"/>
      <c r="I139" s="467"/>
      <c r="J139" s="467"/>
      <c r="K139" s="173"/>
      <c r="L139" s="173"/>
      <c r="M139" s="173"/>
      <c r="N139" s="173"/>
      <c r="O139" s="173"/>
      <c r="P139" s="173"/>
      <c r="Q139" s="173"/>
      <c r="R139" s="173"/>
      <c r="S139" s="187"/>
    </row>
    <row r="140" spans="2:19" x14ac:dyDescent="0.25">
      <c r="B140" s="241"/>
      <c r="C140" s="173"/>
      <c r="D140" s="173"/>
      <c r="E140" s="173"/>
      <c r="F140" s="173"/>
      <c r="G140" s="173"/>
      <c r="H140" s="173"/>
      <c r="I140" s="173"/>
      <c r="J140" s="173"/>
      <c r="K140" s="173"/>
      <c r="L140" s="173"/>
      <c r="M140" s="173"/>
      <c r="N140" s="173"/>
      <c r="O140" s="173"/>
      <c r="P140" s="173"/>
      <c r="Q140" s="173"/>
      <c r="R140" s="173"/>
      <c r="S140" s="187"/>
    </row>
    <row r="141" spans="2:19" x14ac:dyDescent="0.25">
      <c r="B141" s="241"/>
      <c r="C141" s="173"/>
      <c r="D141" s="173"/>
      <c r="E141" s="173"/>
      <c r="F141" s="173"/>
      <c r="G141" s="173"/>
      <c r="H141" s="173"/>
      <c r="I141" s="173"/>
      <c r="J141" s="173"/>
      <c r="K141" s="173"/>
      <c r="L141" s="173"/>
      <c r="M141" s="173"/>
      <c r="N141" s="173"/>
      <c r="O141" s="173"/>
      <c r="P141" s="173"/>
      <c r="Q141" s="173"/>
      <c r="R141" s="173"/>
      <c r="S141" s="187"/>
    </row>
    <row r="142" spans="2:19" x14ac:dyDescent="0.25">
      <c r="B142" s="241"/>
      <c r="C142" s="173"/>
      <c r="D142" s="173"/>
      <c r="E142" s="173"/>
      <c r="F142" s="173"/>
      <c r="G142" s="173"/>
      <c r="H142" s="173"/>
      <c r="I142" s="173"/>
      <c r="J142" s="173"/>
      <c r="K142" s="173"/>
      <c r="L142" s="173"/>
      <c r="M142" s="173"/>
      <c r="N142" s="173"/>
      <c r="O142" s="173"/>
      <c r="P142" s="173"/>
      <c r="Q142" s="173"/>
      <c r="R142" s="173"/>
      <c r="S142" s="187"/>
    </row>
    <row r="143" spans="2:19" x14ac:dyDescent="0.25">
      <c r="B143" s="241"/>
      <c r="C143" s="173"/>
      <c r="D143" s="173"/>
      <c r="E143" s="173"/>
      <c r="F143" s="173"/>
      <c r="G143" s="173"/>
      <c r="H143" s="173"/>
      <c r="I143" s="173"/>
      <c r="J143" s="173"/>
      <c r="K143" s="173"/>
      <c r="L143" s="173"/>
      <c r="M143" s="173"/>
      <c r="N143" s="173"/>
      <c r="O143" s="173"/>
      <c r="P143" s="173"/>
      <c r="Q143" s="173"/>
      <c r="R143" s="173"/>
      <c r="S143" s="187"/>
    </row>
    <row r="144" spans="2:19" x14ac:dyDescent="0.25">
      <c r="B144" s="241"/>
      <c r="C144" s="173"/>
      <c r="D144" s="173"/>
      <c r="E144" s="173"/>
      <c r="F144" s="173"/>
      <c r="G144" s="173"/>
      <c r="H144" s="173"/>
      <c r="I144" s="173"/>
      <c r="J144" s="173"/>
      <c r="K144" s="173"/>
      <c r="L144" s="173"/>
      <c r="M144" s="173"/>
      <c r="N144" s="173"/>
      <c r="O144" s="173"/>
      <c r="P144" s="173"/>
      <c r="Q144" s="173"/>
      <c r="R144" s="173"/>
      <c r="S144" s="187"/>
    </row>
    <row r="145" spans="2:19" x14ac:dyDescent="0.25">
      <c r="B145" s="241"/>
      <c r="C145" s="173"/>
      <c r="D145" s="173"/>
      <c r="E145" s="173"/>
      <c r="F145" s="173"/>
      <c r="G145" s="173"/>
      <c r="H145" s="173"/>
      <c r="I145" s="173"/>
      <c r="J145" s="173"/>
      <c r="K145" s="173"/>
      <c r="L145" s="173"/>
      <c r="M145" s="173"/>
      <c r="N145" s="173"/>
      <c r="O145" s="173"/>
      <c r="P145" s="173"/>
      <c r="Q145" s="173"/>
      <c r="R145" s="173"/>
      <c r="S145" s="187"/>
    </row>
    <row r="146" spans="2:19" x14ac:dyDescent="0.25">
      <c r="B146" s="241"/>
      <c r="C146" s="173"/>
      <c r="D146" s="173"/>
      <c r="E146" s="173"/>
      <c r="F146" s="173"/>
      <c r="G146" s="173"/>
      <c r="H146" s="173"/>
      <c r="I146" s="173"/>
      <c r="J146" s="173"/>
      <c r="K146" s="173"/>
      <c r="L146" s="173"/>
      <c r="M146" s="173"/>
      <c r="N146" s="173"/>
      <c r="O146" s="173"/>
      <c r="P146" s="173"/>
      <c r="Q146" s="173"/>
      <c r="R146" s="173"/>
      <c r="S146" s="187"/>
    </row>
    <row r="147" spans="2:19" x14ac:dyDescent="0.25">
      <c r="B147" s="241"/>
      <c r="C147" s="173"/>
      <c r="D147" s="173"/>
      <c r="E147" s="173"/>
      <c r="F147" s="173"/>
      <c r="G147" s="173"/>
      <c r="H147" s="173"/>
      <c r="I147" s="173"/>
      <c r="J147" s="173"/>
      <c r="K147" s="173"/>
      <c r="L147" s="173"/>
      <c r="M147" s="173"/>
      <c r="N147" s="173"/>
      <c r="O147" s="173"/>
      <c r="P147" s="173"/>
      <c r="Q147" s="173"/>
      <c r="R147" s="173"/>
      <c r="S147" s="187"/>
    </row>
    <row r="148" spans="2:19" x14ac:dyDescent="0.25">
      <c r="B148" s="241"/>
      <c r="C148" s="173"/>
      <c r="D148" s="173"/>
      <c r="E148" s="173"/>
      <c r="F148" s="173"/>
      <c r="G148" s="173"/>
      <c r="H148" s="173"/>
      <c r="I148" s="173"/>
      <c r="J148" s="173"/>
      <c r="K148" s="173"/>
      <c r="L148" s="173"/>
      <c r="M148" s="173"/>
      <c r="N148" s="173"/>
      <c r="O148" s="173"/>
      <c r="P148" s="173"/>
      <c r="Q148" s="173"/>
      <c r="R148" s="173"/>
      <c r="S148" s="187"/>
    </row>
    <row r="149" spans="2:19" x14ac:dyDescent="0.25">
      <c r="B149" s="241"/>
      <c r="C149" s="173"/>
      <c r="D149" s="173"/>
      <c r="E149" s="173"/>
      <c r="F149" s="173"/>
      <c r="G149" s="173"/>
      <c r="H149" s="173"/>
      <c r="I149" s="173"/>
      <c r="J149" s="173"/>
      <c r="K149" s="173"/>
      <c r="L149" s="173"/>
      <c r="M149" s="173"/>
      <c r="N149" s="173"/>
      <c r="O149" s="173"/>
      <c r="P149" s="173"/>
      <c r="Q149" s="173"/>
      <c r="R149" s="173"/>
      <c r="S149" s="187"/>
    </row>
    <row r="150" spans="2:19" x14ac:dyDescent="0.25">
      <c r="B150" s="241"/>
      <c r="C150" s="173"/>
      <c r="D150" s="173"/>
      <c r="E150" s="173"/>
      <c r="F150" s="173"/>
      <c r="G150" s="173"/>
      <c r="H150" s="173"/>
      <c r="I150" s="173"/>
      <c r="J150" s="173"/>
      <c r="K150" s="173"/>
      <c r="L150" s="173"/>
      <c r="M150" s="173"/>
      <c r="N150" s="173"/>
      <c r="O150" s="173"/>
      <c r="P150" s="173"/>
      <c r="Q150" s="173"/>
      <c r="R150" s="173"/>
      <c r="S150" s="187"/>
    </row>
    <row r="151" spans="2:19" x14ac:dyDescent="0.25">
      <c r="B151" s="241"/>
      <c r="C151" s="173"/>
      <c r="D151" s="173"/>
      <c r="E151" s="173"/>
      <c r="F151" s="173"/>
      <c r="G151" s="173"/>
      <c r="H151" s="173"/>
      <c r="I151" s="173"/>
      <c r="J151" s="173"/>
      <c r="K151" s="173"/>
      <c r="L151" s="173"/>
      <c r="M151" s="173"/>
      <c r="N151" s="173"/>
      <c r="O151" s="173"/>
      <c r="P151" s="173"/>
      <c r="Q151" s="173"/>
      <c r="R151" s="173"/>
      <c r="S151" s="187"/>
    </row>
    <row r="152" spans="2:19" x14ac:dyDescent="0.25">
      <c r="B152" s="241"/>
      <c r="C152" s="173"/>
      <c r="D152" s="173"/>
      <c r="E152" s="173"/>
      <c r="F152" s="173"/>
      <c r="G152" s="173"/>
      <c r="H152" s="173"/>
      <c r="I152" s="173"/>
      <c r="J152" s="173"/>
      <c r="K152" s="173"/>
      <c r="L152" s="173"/>
      <c r="M152" s="173"/>
      <c r="N152" s="173"/>
      <c r="O152" s="173"/>
      <c r="P152" s="173"/>
      <c r="Q152" s="173"/>
      <c r="R152" s="173"/>
      <c r="S152" s="187"/>
    </row>
    <row r="153" spans="2:19" x14ac:dyDescent="0.25">
      <c r="B153" s="241"/>
      <c r="C153" s="173"/>
      <c r="D153" s="173"/>
      <c r="E153" s="173"/>
      <c r="F153" s="173"/>
      <c r="G153" s="173"/>
      <c r="H153" s="173"/>
      <c r="I153" s="173"/>
      <c r="J153" s="173"/>
      <c r="K153" s="173"/>
      <c r="L153" s="173"/>
      <c r="M153" s="173"/>
      <c r="N153" s="173"/>
      <c r="O153" s="173"/>
      <c r="P153" s="173"/>
      <c r="Q153" s="173"/>
      <c r="R153" s="173"/>
      <c r="S153" s="187"/>
    </row>
    <row r="154" spans="2:19" x14ac:dyDescent="0.25">
      <c r="B154" s="241"/>
      <c r="C154" s="173"/>
      <c r="D154" s="173"/>
      <c r="E154" s="173"/>
      <c r="F154" s="173"/>
      <c r="G154" s="173"/>
      <c r="H154" s="173"/>
      <c r="I154" s="173"/>
      <c r="J154" s="173"/>
      <c r="K154" s="173"/>
      <c r="L154" s="173"/>
      <c r="M154" s="173"/>
      <c r="N154" s="173"/>
      <c r="O154" s="173"/>
      <c r="P154" s="173"/>
      <c r="Q154" s="173"/>
      <c r="R154" s="173"/>
      <c r="S154" s="187"/>
    </row>
    <row r="155" spans="2:19" x14ac:dyDescent="0.25">
      <c r="B155" s="241"/>
      <c r="C155" s="173"/>
      <c r="D155" s="173"/>
      <c r="E155" s="173"/>
      <c r="F155" s="173"/>
      <c r="G155" s="173"/>
      <c r="H155" s="173"/>
      <c r="I155" s="173"/>
      <c r="J155" s="173"/>
      <c r="K155" s="173"/>
      <c r="L155" s="173"/>
      <c r="M155" s="173"/>
      <c r="N155" s="173"/>
      <c r="O155" s="173"/>
      <c r="P155" s="173"/>
      <c r="Q155" s="173"/>
      <c r="R155" s="173"/>
      <c r="S155" s="187"/>
    </row>
    <row r="156" spans="2:19" x14ac:dyDescent="0.25">
      <c r="B156" s="241"/>
      <c r="C156" s="173"/>
      <c r="D156" s="173"/>
      <c r="E156" s="173"/>
      <c r="F156" s="173"/>
      <c r="G156" s="173"/>
      <c r="H156" s="173"/>
      <c r="I156" s="173"/>
      <c r="J156" s="173"/>
      <c r="K156" s="173"/>
      <c r="L156" s="173"/>
      <c r="M156" s="173"/>
      <c r="N156" s="173"/>
      <c r="O156" s="173"/>
      <c r="P156" s="173"/>
      <c r="Q156" s="173"/>
      <c r="R156" s="173"/>
      <c r="S156" s="187"/>
    </row>
    <row r="157" spans="2:19" x14ac:dyDescent="0.25">
      <c r="B157" s="241"/>
      <c r="C157" s="173"/>
      <c r="D157" s="173"/>
      <c r="E157" s="173"/>
      <c r="F157" s="173"/>
      <c r="G157" s="173"/>
      <c r="H157" s="173"/>
      <c r="I157" s="173"/>
      <c r="J157" s="173"/>
      <c r="K157" s="173"/>
      <c r="L157" s="173"/>
      <c r="M157" s="173"/>
      <c r="N157" s="173"/>
      <c r="O157" s="173"/>
      <c r="P157" s="173"/>
      <c r="Q157" s="173"/>
      <c r="R157" s="173"/>
      <c r="S157" s="187"/>
    </row>
    <row r="158" spans="2:19" x14ac:dyDescent="0.25">
      <c r="B158" s="241"/>
      <c r="C158" s="173"/>
      <c r="D158" s="173"/>
      <c r="E158" s="173"/>
      <c r="F158" s="173"/>
      <c r="G158" s="173"/>
      <c r="H158" s="173"/>
      <c r="I158" s="173"/>
      <c r="J158" s="173"/>
      <c r="K158" s="173"/>
      <c r="L158" s="173"/>
      <c r="M158" s="173"/>
      <c r="N158" s="173"/>
      <c r="O158" s="173"/>
      <c r="P158" s="173"/>
      <c r="Q158" s="173"/>
      <c r="R158" s="173"/>
      <c r="S158" s="187"/>
    </row>
    <row r="159" spans="2:19" x14ac:dyDescent="0.25">
      <c r="B159" s="241"/>
      <c r="C159" s="173"/>
      <c r="D159" s="173"/>
      <c r="E159" s="173"/>
      <c r="F159" s="173"/>
      <c r="G159" s="173"/>
      <c r="H159" s="173"/>
      <c r="I159" s="173"/>
      <c r="J159" s="173"/>
      <c r="K159" s="173"/>
      <c r="L159" s="173"/>
      <c r="M159" s="173"/>
      <c r="N159" s="173"/>
      <c r="O159" s="173"/>
      <c r="P159" s="173"/>
      <c r="Q159" s="173"/>
      <c r="R159" s="173"/>
      <c r="S159" s="187"/>
    </row>
    <row r="160" spans="2:19" x14ac:dyDescent="0.25">
      <c r="B160" s="241"/>
      <c r="C160" s="173"/>
      <c r="D160" s="173"/>
      <c r="E160" s="173"/>
      <c r="F160" s="173"/>
      <c r="G160" s="173"/>
      <c r="H160" s="173"/>
      <c r="I160" s="173"/>
      <c r="J160" s="173"/>
      <c r="K160" s="173"/>
      <c r="L160" s="173"/>
      <c r="M160" s="173"/>
      <c r="N160" s="173"/>
      <c r="O160" s="173"/>
      <c r="P160" s="173"/>
      <c r="Q160" s="173"/>
      <c r="R160" s="173"/>
      <c r="S160" s="187"/>
    </row>
    <row r="161" spans="2:19" ht="13" thickBot="1" x14ac:dyDescent="0.3">
      <c r="B161" s="210"/>
      <c r="C161" s="211"/>
      <c r="D161" s="211"/>
      <c r="E161" s="211"/>
      <c r="F161" s="211"/>
      <c r="G161" s="211"/>
      <c r="H161" s="211"/>
      <c r="I161" s="211"/>
      <c r="J161" s="211"/>
      <c r="K161" s="211"/>
      <c r="L161" s="211"/>
      <c r="M161" s="211"/>
      <c r="N161" s="211"/>
      <c r="O161" s="211"/>
      <c r="P161" s="211"/>
      <c r="Q161" s="211"/>
      <c r="R161" s="211"/>
      <c r="S161" s="218"/>
    </row>
  </sheetData>
  <sheetProtection sheet="1" objects="1" scenarios="1"/>
  <pageMargins left="0.7" right="0.7" top="0.75" bottom="0.75" header="0.3" footer="0.3"/>
  <pageSetup scale="10" fitToHeight="0" orientation="portrait" r:id="rId1"/>
  <colBreaks count="1" manualBreakCount="1">
    <brk id="49"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T64"/>
  <sheetViews>
    <sheetView zoomScale="90" zoomScaleNormal="90" workbookViewId="0">
      <selection activeCell="C56" sqref="C56"/>
    </sheetView>
  </sheetViews>
  <sheetFormatPr defaultColWidth="9.1796875" defaultRowHeight="12.5" x14ac:dyDescent="0.25"/>
  <cols>
    <col min="1" max="1" width="1.1796875" style="171" customWidth="1"/>
    <col min="2" max="2" width="4.54296875" style="171" customWidth="1"/>
    <col min="3" max="19" width="9.1796875" style="171"/>
    <col min="20" max="20" width="4.54296875" style="171" customWidth="1"/>
    <col min="21" max="16384" width="9.1796875" style="171"/>
  </cols>
  <sheetData>
    <row r="1" spans="2:20" ht="6.75" customHeight="1" thickBot="1" x14ac:dyDescent="0.3"/>
    <row r="2" spans="2:20" ht="16" thickBot="1" x14ac:dyDescent="0.4">
      <c r="B2" s="476" t="s">
        <v>60</v>
      </c>
      <c r="C2" s="477"/>
      <c r="D2" s="477"/>
      <c r="E2" s="477"/>
      <c r="F2" s="477"/>
      <c r="G2" s="477"/>
      <c r="H2" s="477"/>
      <c r="I2" s="477"/>
      <c r="J2" s="477"/>
      <c r="K2" s="477"/>
      <c r="L2" s="477"/>
      <c r="M2" s="477"/>
      <c r="N2" s="477"/>
      <c r="O2" s="477"/>
      <c r="P2" s="477"/>
      <c r="Q2" s="477"/>
      <c r="R2" s="477"/>
      <c r="S2" s="477"/>
      <c r="T2" s="478"/>
    </row>
    <row r="3" spans="2:20" ht="12.75" customHeight="1" x14ac:dyDescent="0.35">
      <c r="B3" s="312"/>
      <c r="C3" s="313"/>
      <c r="D3" s="313"/>
      <c r="E3" s="313"/>
      <c r="F3" s="313"/>
      <c r="G3" s="313"/>
      <c r="H3" s="313"/>
      <c r="I3" s="313"/>
      <c r="J3" s="313"/>
      <c r="K3" s="313"/>
      <c r="L3" s="313"/>
      <c r="M3" s="313"/>
      <c r="N3" s="313"/>
      <c r="O3" s="313"/>
      <c r="P3" s="313"/>
      <c r="Q3" s="313"/>
      <c r="R3" s="313"/>
      <c r="S3" s="313"/>
      <c r="T3" s="314"/>
    </row>
    <row r="4" spans="2:20" ht="12.75" customHeight="1" x14ac:dyDescent="0.35">
      <c r="B4" s="312"/>
      <c r="C4" s="464" t="s">
        <v>278</v>
      </c>
      <c r="D4" s="464"/>
      <c r="E4" s="464"/>
      <c r="F4" s="464"/>
      <c r="G4" s="464"/>
      <c r="H4" s="464"/>
      <c r="I4" s="464"/>
      <c r="J4" s="464"/>
      <c r="K4" s="464"/>
      <c r="L4" s="464"/>
      <c r="M4" s="464"/>
      <c r="N4" s="464"/>
      <c r="O4" s="464"/>
      <c r="P4" s="464"/>
      <c r="Q4" s="464"/>
      <c r="R4" s="464"/>
      <c r="S4" s="464"/>
      <c r="T4" s="314"/>
    </row>
    <row r="5" spans="2:20" ht="12.75" customHeight="1" x14ac:dyDescent="0.35">
      <c r="B5" s="312"/>
      <c r="C5" s="465" t="s">
        <v>279</v>
      </c>
      <c r="D5" s="464"/>
      <c r="E5" s="464"/>
      <c r="F5" s="464"/>
      <c r="G5" s="464"/>
      <c r="H5" s="464"/>
      <c r="I5" s="464"/>
      <c r="J5" s="464"/>
      <c r="K5" s="464"/>
      <c r="L5" s="464"/>
      <c r="M5" s="464"/>
      <c r="N5" s="464"/>
      <c r="O5" s="464"/>
      <c r="P5" s="464"/>
      <c r="Q5" s="464"/>
      <c r="R5" s="464"/>
      <c r="S5" s="464"/>
      <c r="T5" s="314"/>
    </row>
    <row r="6" spans="2:20" ht="12.75" customHeight="1" x14ac:dyDescent="0.35">
      <c r="B6" s="312"/>
      <c r="C6" s="313"/>
      <c r="D6" s="313"/>
      <c r="E6" s="313"/>
      <c r="F6" s="313"/>
      <c r="G6" s="313"/>
      <c r="H6" s="313"/>
      <c r="I6" s="313"/>
      <c r="J6" s="313"/>
      <c r="K6" s="313"/>
      <c r="L6" s="313"/>
      <c r="M6" s="313"/>
      <c r="N6" s="313"/>
      <c r="O6" s="313"/>
      <c r="P6" s="313"/>
      <c r="Q6" s="313"/>
      <c r="R6" s="313"/>
      <c r="S6" s="313"/>
      <c r="T6" s="314"/>
    </row>
    <row r="7" spans="2:20" ht="12.75" customHeight="1" x14ac:dyDescent="0.35">
      <c r="B7" s="312"/>
      <c r="C7" s="479" t="s">
        <v>272</v>
      </c>
      <c r="D7" s="479"/>
      <c r="E7" s="479"/>
      <c r="F7" s="479"/>
      <c r="G7" s="479"/>
      <c r="H7" s="479"/>
      <c r="I7" s="479"/>
      <c r="J7" s="479"/>
      <c r="K7" s="479"/>
      <c r="L7" s="479"/>
      <c r="M7" s="479"/>
      <c r="N7" s="479"/>
      <c r="O7" s="479"/>
      <c r="P7" s="479"/>
      <c r="Q7" s="479"/>
      <c r="R7" s="479"/>
      <c r="S7" s="479"/>
      <c r="T7" s="314"/>
    </row>
    <row r="8" spans="2:20" ht="12.75" customHeight="1" x14ac:dyDescent="0.35">
      <c r="B8" s="312"/>
      <c r="C8" s="479" t="s">
        <v>271</v>
      </c>
      <c r="D8" s="479"/>
      <c r="E8" s="479"/>
      <c r="F8" s="479"/>
      <c r="G8" s="479"/>
      <c r="H8" s="479"/>
      <c r="I8" s="479"/>
      <c r="J8" s="479"/>
      <c r="K8" s="479"/>
      <c r="L8" s="479"/>
      <c r="M8" s="479"/>
      <c r="N8" s="479"/>
      <c r="O8" s="479"/>
      <c r="P8" s="479"/>
      <c r="Q8" s="479"/>
      <c r="R8" s="479"/>
      <c r="S8" s="479"/>
      <c r="T8" s="314"/>
    </row>
    <row r="9" spans="2:20" ht="12.75" customHeight="1" x14ac:dyDescent="0.35">
      <c r="B9" s="312"/>
      <c r="C9" s="480" t="s">
        <v>269</v>
      </c>
      <c r="D9" s="307"/>
      <c r="E9" s="307"/>
      <c r="F9" s="307"/>
      <c r="G9" s="307"/>
      <c r="H9" s="307"/>
      <c r="I9" s="307"/>
      <c r="J9" s="307"/>
      <c r="K9" s="307"/>
      <c r="L9" s="307"/>
      <c r="M9" s="307"/>
      <c r="N9" s="307"/>
      <c r="O9" s="307"/>
      <c r="P9" s="307"/>
      <c r="Q9" s="307"/>
      <c r="R9" s="307"/>
      <c r="S9" s="307"/>
      <c r="T9" s="314"/>
    </row>
    <row r="10" spans="2:20" ht="12.75" customHeight="1" x14ac:dyDescent="0.35">
      <c r="B10" s="312"/>
      <c r="C10" s="418" t="s">
        <v>270</v>
      </c>
      <c r="D10" s="436"/>
      <c r="E10" s="436"/>
      <c r="F10" s="436"/>
      <c r="G10" s="436"/>
      <c r="H10" s="436"/>
      <c r="I10" s="436"/>
      <c r="J10" s="436"/>
      <c r="K10" s="436"/>
      <c r="L10" s="436"/>
      <c r="M10" s="436"/>
      <c r="N10" s="436"/>
      <c r="O10" s="436"/>
      <c r="P10" s="436"/>
      <c r="Q10" s="436"/>
      <c r="R10" s="436"/>
      <c r="S10" s="436"/>
      <c r="T10" s="314"/>
    </row>
    <row r="11" spans="2:20" ht="12.75" customHeight="1" x14ac:dyDescent="0.35">
      <c r="B11" s="312"/>
      <c r="C11" s="418"/>
      <c r="D11" s="436"/>
      <c r="E11" s="436"/>
      <c r="F11" s="436"/>
      <c r="G11" s="436"/>
      <c r="H11" s="436"/>
      <c r="I11" s="436"/>
      <c r="J11" s="436"/>
      <c r="K11" s="436"/>
      <c r="L11" s="436"/>
      <c r="M11" s="436"/>
      <c r="N11" s="436"/>
      <c r="O11" s="436"/>
      <c r="P11" s="436"/>
      <c r="Q11" s="436"/>
      <c r="R11" s="436"/>
      <c r="S11" s="436"/>
      <c r="T11" s="314"/>
    </row>
    <row r="12" spans="2:20" ht="12.75" customHeight="1" x14ac:dyDescent="0.35">
      <c r="B12" s="312"/>
      <c r="C12" s="464" t="s">
        <v>171</v>
      </c>
      <c r="D12" s="464"/>
      <c r="E12" s="464"/>
      <c r="F12" s="464"/>
      <c r="G12" s="464"/>
      <c r="H12" s="464"/>
      <c r="I12" s="464"/>
      <c r="J12" s="464"/>
      <c r="K12" s="464"/>
      <c r="L12" s="464"/>
      <c r="M12" s="464"/>
      <c r="N12" s="464"/>
      <c r="O12" s="464"/>
      <c r="P12" s="464"/>
      <c r="Q12" s="464"/>
      <c r="R12" s="464"/>
      <c r="S12" s="464"/>
      <c r="T12" s="314"/>
    </row>
    <row r="13" spans="2:20" ht="12.75" customHeight="1" x14ac:dyDescent="0.35">
      <c r="B13" s="312"/>
      <c r="C13" s="306"/>
      <c r="D13" s="306"/>
      <c r="E13" s="306"/>
      <c r="F13" s="306"/>
      <c r="G13" s="306"/>
      <c r="H13" s="306"/>
      <c r="I13" s="306"/>
      <c r="J13" s="306"/>
      <c r="K13" s="306"/>
      <c r="L13" s="306"/>
      <c r="M13" s="306"/>
      <c r="N13" s="306"/>
      <c r="O13" s="306"/>
      <c r="P13" s="306"/>
      <c r="Q13" s="306"/>
      <c r="R13" s="306"/>
      <c r="S13" s="306"/>
      <c r="T13" s="314"/>
    </row>
    <row r="14" spans="2:20" ht="12.75" customHeight="1" x14ac:dyDescent="0.35">
      <c r="B14" s="312"/>
      <c r="C14" s="464" t="s">
        <v>174</v>
      </c>
      <c r="D14" s="464"/>
      <c r="E14" s="464"/>
      <c r="F14" s="464"/>
      <c r="G14" s="464"/>
      <c r="H14" s="464"/>
      <c r="I14" s="464"/>
      <c r="J14" s="464"/>
      <c r="K14" s="464"/>
      <c r="L14" s="464"/>
      <c r="M14" s="464"/>
      <c r="N14" s="464"/>
      <c r="O14" s="464"/>
      <c r="P14" s="464"/>
      <c r="Q14" s="464"/>
      <c r="R14" s="464"/>
      <c r="S14" s="464"/>
      <c r="T14" s="314"/>
    </row>
    <row r="15" spans="2:20" ht="12.75" customHeight="1" x14ac:dyDescent="0.35">
      <c r="B15" s="312"/>
      <c r="C15" s="306"/>
      <c r="D15" s="306"/>
      <c r="E15" s="306"/>
      <c r="F15" s="306"/>
      <c r="G15" s="306"/>
      <c r="H15" s="306"/>
      <c r="I15" s="306"/>
      <c r="J15" s="306"/>
      <c r="K15" s="306"/>
      <c r="L15" s="306"/>
      <c r="M15" s="306"/>
      <c r="N15" s="306"/>
      <c r="O15" s="306"/>
      <c r="P15" s="306"/>
      <c r="Q15" s="306"/>
      <c r="R15" s="306"/>
      <c r="S15" s="306"/>
      <c r="T15" s="314"/>
    </row>
    <row r="16" spans="2:20" ht="12.75" customHeight="1" x14ac:dyDescent="0.35">
      <c r="B16" s="312"/>
      <c r="C16" s="464" t="s">
        <v>273</v>
      </c>
      <c r="D16" s="464"/>
      <c r="E16" s="464"/>
      <c r="F16" s="464"/>
      <c r="G16" s="464"/>
      <c r="H16" s="464"/>
      <c r="I16" s="464"/>
      <c r="J16" s="464"/>
      <c r="K16" s="464"/>
      <c r="L16" s="464"/>
      <c r="M16" s="464"/>
      <c r="N16" s="464"/>
      <c r="O16" s="464"/>
      <c r="P16" s="464"/>
      <c r="Q16" s="464"/>
      <c r="R16" s="464"/>
      <c r="S16" s="464"/>
      <c r="T16" s="314"/>
    </row>
    <row r="17" spans="2:20" ht="12.75" customHeight="1" x14ac:dyDescent="0.35">
      <c r="B17" s="312"/>
      <c r="C17" s="465" t="s">
        <v>274</v>
      </c>
      <c r="D17" s="464"/>
      <c r="E17" s="464"/>
      <c r="F17" s="464"/>
      <c r="G17" s="464"/>
      <c r="H17" s="464"/>
      <c r="I17" s="464"/>
      <c r="J17" s="464"/>
      <c r="K17" s="464"/>
      <c r="L17" s="464"/>
      <c r="M17" s="464"/>
      <c r="N17" s="464"/>
      <c r="O17" s="464"/>
      <c r="P17" s="464"/>
      <c r="Q17" s="464"/>
      <c r="R17" s="464"/>
      <c r="S17" s="464"/>
      <c r="T17" s="314"/>
    </row>
    <row r="18" spans="2:20" ht="12.75" customHeight="1" x14ac:dyDescent="0.35">
      <c r="B18" s="312"/>
      <c r="C18" s="465" t="s">
        <v>275</v>
      </c>
      <c r="D18" s="464"/>
      <c r="E18" s="464"/>
      <c r="F18" s="464"/>
      <c r="G18" s="464"/>
      <c r="H18" s="464"/>
      <c r="I18" s="464"/>
      <c r="J18" s="464"/>
      <c r="K18" s="464"/>
      <c r="L18" s="464"/>
      <c r="M18" s="464"/>
      <c r="N18" s="464"/>
      <c r="O18" s="464"/>
      <c r="P18" s="464"/>
      <c r="Q18" s="464"/>
      <c r="R18" s="464"/>
      <c r="S18" s="464"/>
      <c r="T18" s="314"/>
    </row>
    <row r="19" spans="2:20" ht="12.75" customHeight="1" x14ac:dyDescent="0.35">
      <c r="B19" s="312"/>
      <c r="C19" s="306"/>
      <c r="D19" s="306"/>
      <c r="E19" s="306"/>
      <c r="F19" s="306"/>
      <c r="G19" s="306"/>
      <c r="H19" s="306"/>
      <c r="I19" s="306"/>
      <c r="J19" s="306"/>
      <c r="K19" s="306"/>
      <c r="L19" s="306"/>
      <c r="M19" s="306"/>
      <c r="N19" s="306"/>
      <c r="O19" s="306"/>
      <c r="P19" s="306"/>
      <c r="Q19" s="306"/>
      <c r="R19" s="306"/>
      <c r="S19" s="306"/>
      <c r="T19" s="314"/>
    </row>
    <row r="20" spans="2:20" ht="12.75" customHeight="1" x14ac:dyDescent="0.3">
      <c r="B20" s="241"/>
      <c r="C20" s="247" t="s">
        <v>62</v>
      </c>
      <c r="D20" s="173"/>
      <c r="E20" s="173"/>
      <c r="F20" s="173"/>
      <c r="G20" s="173"/>
      <c r="H20" s="173"/>
      <c r="I20" s="173"/>
      <c r="J20" s="173"/>
      <c r="K20" s="173"/>
      <c r="L20" s="173"/>
      <c r="M20" s="173"/>
      <c r="N20" s="173"/>
      <c r="O20" s="173"/>
      <c r="P20" s="173"/>
      <c r="Q20" s="173"/>
      <c r="R20" s="173"/>
      <c r="S20" s="173"/>
      <c r="T20" s="187"/>
    </row>
    <row r="21" spans="2:20" x14ac:dyDescent="0.25">
      <c r="B21" s="248"/>
      <c r="C21" s="249"/>
      <c r="D21" s="173"/>
      <c r="E21" s="173"/>
      <c r="F21" s="173"/>
      <c r="G21" s="173"/>
      <c r="H21" s="173"/>
      <c r="I21" s="173"/>
      <c r="J21" s="173"/>
      <c r="K21" s="249"/>
      <c r="L21" s="173"/>
      <c r="M21" s="173"/>
      <c r="N21" s="173"/>
      <c r="O21" s="173"/>
      <c r="P21" s="249"/>
      <c r="Q21" s="173"/>
      <c r="R21" s="173"/>
      <c r="S21" s="173"/>
      <c r="T21" s="187"/>
    </row>
    <row r="22" spans="2:20" x14ac:dyDescent="0.25">
      <c r="B22" s="194"/>
      <c r="C22" s="310" t="s">
        <v>168</v>
      </c>
      <c r="D22" s="173"/>
      <c r="E22" s="173"/>
      <c r="F22" s="173"/>
      <c r="G22" s="174" t="s">
        <v>169</v>
      </c>
      <c r="H22" s="173"/>
      <c r="I22" s="173"/>
      <c r="J22" s="173"/>
      <c r="K22" s="174" t="s">
        <v>170</v>
      </c>
      <c r="L22" s="173"/>
      <c r="M22" s="173"/>
      <c r="N22" s="173"/>
      <c r="O22" s="173"/>
      <c r="P22" s="173"/>
      <c r="Q22" s="173"/>
      <c r="R22" s="173"/>
      <c r="S22" s="173"/>
      <c r="T22" s="187"/>
    </row>
    <row r="23" spans="2:20" x14ac:dyDescent="0.25">
      <c r="B23" s="194"/>
      <c r="C23" s="195"/>
      <c r="D23" s="173"/>
      <c r="E23" s="173"/>
      <c r="F23" s="173"/>
      <c r="G23" s="173"/>
      <c r="H23" s="173"/>
      <c r="I23" s="173"/>
      <c r="J23" s="173"/>
      <c r="K23" s="173"/>
      <c r="L23" s="195"/>
      <c r="M23" s="173"/>
      <c r="N23" s="173"/>
      <c r="O23" s="173"/>
      <c r="P23" s="173"/>
      <c r="Q23" s="173"/>
      <c r="R23" s="173"/>
      <c r="S23" s="173"/>
      <c r="T23" s="187"/>
    </row>
    <row r="24" spans="2:20" x14ac:dyDescent="0.25">
      <c r="B24" s="194"/>
      <c r="C24" s="195"/>
      <c r="D24" s="173"/>
      <c r="E24" s="173"/>
      <c r="F24" s="173"/>
      <c r="G24" s="173"/>
      <c r="H24" s="173"/>
      <c r="I24" s="173"/>
      <c r="J24" s="173"/>
      <c r="K24" s="173"/>
      <c r="L24" s="195"/>
      <c r="M24" s="173"/>
      <c r="N24" s="173"/>
      <c r="O24" s="173"/>
      <c r="P24" s="173"/>
      <c r="Q24" s="173"/>
      <c r="R24" s="173"/>
      <c r="S24" s="173"/>
      <c r="T24" s="187"/>
    </row>
    <row r="25" spans="2:20" x14ac:dyDescent="0.25">
      <c r="B25" s="241"/>
      <c r="C25" s="173"/>
      <c r="D25" s="173"/>
      <c r="E25" s="173"/>
      <c r="F25" s="173"/>
      <c r="G25" s="173"/>
      <c r="H25" s="173"/>
      <c r="I25" s="173"/>
      <c r="J25" s="173"/>
      <c r="K25" s="173"/>
      <c r="L25" s="195"/>
      <c r="M25" s="173"/>
      <c r="N25" s="173"/>
      <c r="O25" s="173"/>
      <c r="P25" s="173"/>
      <c r="Q25" s="173"/>
      <c r="R25" s="173"/>
      <c r="S25" s="173"/>
      <c r="T25" s="187"/>
    </row>
    <row r="26" spans="2:20" x14ac:dyDescent="0.25">
      <c r="B26" s="241"/>
      <c r="C26" s="173"/>
      <c r="D26" s="173"/>
      <c r="E26" s="173"/>
      <c r="F26" s="173"/>
      <c r="G26" s="173"/>
      <c r="H26" s="173"/>
      <c r="I26" s="173"/>
      <c r="J26" s="173"/>
      <c r="K26" s="173"/>
      <c r="L26" s="173"/>
      <c r="M26" s="173"/>
      <c r="N26" s="173"/>
      <c r="O26" s="173"/>
      <c r="P26" s="173"/>
      <c r="Q26" s="173"/>
      <c r="R26" s="173"/>
      <c r="S26" s="173"/>
      <c r="T26" s="187"/>
    </row>
    <row r="27" spans="2:20" x14ac:dyDescent="0.25">
      <c r="B27" s="241"/>
      <c r="C27" s="173"/>
      <c r="D27" s="173"/>
      <c r="E27" s="173"/>
      <c r="F27" s="173"/>
      <c r="G27" s="173"/>
      <c r="H27" s="173"/>
      <c r="I27" s="173"/>
      <c r="J27" s="173"/>
      <c r="K27" s="173"/>
      <c r="L27" s="173"/>
      <c r="M27" s="173"/>
      <c r="N27" s="173"/>
      <c r="O27" s="173"/>
      <c r="P27" s="173"/>
      <c r="Q27" s="173"/>
      <c r="R27" s="173"/>
      <c r="S27" s="173"/>
      <c r="T27" s="187"/>
    </row>
    <row r="28" spans="2:20" x14ac:dyDescent="0.25">
      <c r="B28" s="241"/>
      <c r="C28" s="173"/>
      <c r="D28" s="173"/>
      <c r="E28" s="173"/>
      <c r="F28" s="173"/>
      <c r="G28" s="173"/>
      <c r="H28" s="173"/>
      <c r="I28" s="173"/>
      <c r="J28" s="173"/>
      <c r="K28" s="173"/>
      <c r="L28" s="173"/>
      <c r="M28" s="173"/>
      <c r="N28" s="173"/>
      <c r="O28" s="173"/>
      <c r="P28" s="173"/>
      <c r="Q28" s="173"/>
      <c r="R28" s="173"/>
      <c r="S28" s="173"/>
      <c r="T28" s="187"/>
    </row>
    <row r="29" spans="2:20" x14ac:dyDescent="0.25">
      <c r="B29" s="241"/>
      <c r="C29" s="173"/>
      <c r="D29" s="173"/>
      <c r="E29" s="173"/>
      <c r="F29" s="173"/>
      <c r="G29" s="173"/>
      <c r="H29" s="173"/>
      <c r="I29" s="173"/>
      <c r="J29" s="173"/>
      <c r="K29" s="173"/>
      <c r="L29" s="173"/>
      <c r="M29" s="173"/>
      <c r="N29" s="173"/>
      <c r="O29" s="173"/>
      <c r="P29" s="173"/>
      <c r="Q29" s="173"/>
      <c r="R29" s="173"/>
      <c r="S29" s="173"/>
      <c r="T29" s="187"/>
    </row>
    <row r="30" spans="2:20" x14ac:dyDescent="0.25">
      <c r="B30" s="241"/>
      <c r="C30" s="173"/>
      <c r="D30" s="173"/>
      <c r="E30" s="173"/>
      <c r="F30" s="173"/>
      <c r="G30" s="173"/>
      <c r="H30" s="173"/>
      <c r="I30" s="173"/>
      <c r="J30" s="173"/>
      <c r="K30" s="173"/>
      <c r="L30" s="173"/>
      <c r="M30" s="173"/>
      <c r="N30" s="173"/>
      <c r="O30" s="173"/>
      <c r="P30" s="173"/>
      <c r="Q30" s="173"/>
      <c r="R30" s="173"/>
      <c r="S30" s="173"/>
      <c r="T30" s="187"/>
    </row>
    <row r="31" spans="2:20" x14ac:dyDescent="0.25">
      <c r="B31" s="241"/>
      <c r="C31" s="173"/>
      <c r="D31" s="173"/>
      <c r="E31" s="173"/>
      <c r="F31" s="173"/>
      <c r="G31" s="173"/>
      <c r="H31" s="173"/>
      <c r="I31" s="173"/>
      <c r="J31" s="173"/>
      <c r="K31" s="173"/>
      <c r="L31" s="173"/>
      <c r="M31" s="173"/>
      <c r="N31" s="173"/>
      <c r="O31" s="173"/>
      <c r="P31" s="173"/>
      <c r="Q31" s="173"/>
      <c r="R31" s="173"/>
      <c r="S31" s="173"/>
      <c r="T31" s="187"/>
    </row>
    <row r="32" spans="2:20" x14ac:dyDescent="0.25">
      <c r="B32" s="241"/>
      <c r="C32" s="173"/>
      <c r="D32" s="173"/>
      <c r="E32" s="173"/>
      <c r="F32" s="173"/>
      <c r="G32" s="173"/>
      <c r="H32" s="173"/>
      <c r="I32" s="173"/>
      <c r="J32" s="173"/>
      <c r="K32" s="173"/>
      <c r="L32" s="173"/>
      <c r="M32" s="173"/>
      <c r="N32" s="173"/>
      <c r="O32" s="173"/>
      <c r="P32" s="173"/>
      <c r="Q32" s="173"/>
      <c r="R32" s="173"/>
      <c r="S32" s="173"/>
      <c r="T32" s="187"/>
    </row>
    <row r="33" spans="2:20" x14ac:dyDescent="0.25">
      <c r="B33" s="241"/>
      <c r="C33" s="173"/>
      <c r="D33" s="173"/>
      <c r="E33" s="173"/>
      <c r="F33" s="173"/>
      <c r="G33" s="173"/>
      <c r="H33" s="173"/>
      <c r="I33" s="173"/>
      <c r="J33" s="173"/>
      <c r="K33" s="173"/>
      <c r="L33" s="173"/>
      <c r="M33" s="173"/>
      <c r="N33" s="173"/>
      <c r="O33" s="173"/>
      <c r="P33" s="173"/>
      <c r="Q33" s="173"/>
      <c r="R33" s="173"/>
      <c r="S33" s="173"/>
      <c r="T33" s="187"/>
    </row>
    <row r="34" spans="2:20" x14ac:dyDescent="0.25">
      <c r="B34" s="241"/>
      <c r="C34" s="173"/>
      <c r="D34" s="173"/>
      <c r="E34" s="173"/>
      <c r="F34" s="173"/>
      <c r="G34" s="173"/>
      <c r="H34" s="173"/>
      <c r="I34" s="173"/>
      <c r="J34" s="173"/>
      <c r="K34" s="173"/>
      <c r="L34" s="173"/>
      <c r="M34" s="173"/>
      <c r="N34" s="173"/>
      <c r="O34" s="173"/>
      <c r="P34" s="173"/>
      <c r="Q34" s="173"/>
      <c r="R34" s="173"/>
      <c r="S34" s="173"/>
      <c r="T34" s="187"/>
    </row>
    <row r="35" spans="2:20" x14ac:dyDescent="0.25">
      <c r="B35" s="241"/>
      <c r="C35" s="173"/>
      <c r="D35" s="173"/>
      <c r="E35" s="173"/>
      <c r="F35" s="173"/>
      <c r="G35" s="173"/>
      <c r="H35" s="173"/>
      <c r="I35" s="173"/>
      <c r="J35" s="173"/>
      <c r="K35" s="173"/>
      <c r="L35" s="173"/>
      <c r="M35" s="173"/>
      <c r="N35" s="173"/>
      <c r="O35" s="173"/>
      <c r="P35" s="173"/>
      <c r="Q35" s="173"/>
      <c r="R35" s="173"/>
      <c r="S35" s="173"/>
      <c r="T35" s="187"/>
    </row>
    <row r="36" spans="2:20" x14ac:dyDescent="0.25">
      <c r="B36" s="241"/>
      <c r="C36" s="173"/>
      <c r="D36" s="173"/>
      <c r="E36" s="173"/>
      <c r="F36" s="173"/>
      <c r="G36" s="173"/>
      <c r="H36" s="173"/>
      <c r="I36" s="173"/>
      <c r="J36" s="173"/>
      <c r="K36" s="173"/>
      <c r="L36" s="173"/>
      <c r="M36" s="173"/>
      <c r="N36" s="173"/>
      <c r="O36" s="173"/>
      <c r="P36" s="173"/>
      <c r="Q36" s="173"/>
      <c r="R36" s="173"/>
      <c r="S36" s="173"/>
      <c r="T36" s="187"/>
    </row>
    <row r="37" spans="2:20" x14ac:dyDescent="0.25">
      <c r="B37" s="241"/>
      <c r="C37" s="173"/>
      <c r="D37" s="173"/>
      <c r="E37" s="173"/>
      <c r="F37" s="173"/>
      <c r="G37" s="173"/>
      <c r="H37" s="173"/>
      <c r="I37" s="173"/>
      <c r="J37" s="173"/>
      <c r="K37" s="173"/>
      <c r="L37" s="173"/>
      <c r="M37" s="173"/>
      <c r="N37" s="173"/>
      <c r="O37" s="173"/>
      <c r="P37" s="173"/>
      <c r="Q37" s="173"/>
      <c r="R37" s="173"/>
      <c r="S37" s="173"/>
      <c r="T37" s="187"/>
    </row>
    <row r="38" spans="2:20" x14ac:dyDescent="0.25">
      <c r="B38" s="241"/>
      <c r="C38" s="173"/>
      <c r="D38" s="173"/>
      <c r="E38" s="173"/>
      <c r="F38" s="173"/>
      <c r="G38" s="173"/>
      <c r="H38" s="173"/>
      <c r="I38" s="173"/>
      <c r="J38" s="173"/>
      <c r="K38" s="173"/>
      <c r="L38" s="173"/>
      <c r="M38" s="173"/>
      <c r="N38" s="173"/>
      <c r="O38" s="173"/>
      <c r="P38" s="173"/>
      <c r="Q38" s="173"/>
      <c r="R38" s="173"/>
      <c r="S38" s="173"/>
      <c r="T38" s="187"/>
    </row>
    <row r="39" spans="2:20" ht="13" x14ac:dyDescent="0.3">
      <c r="B39" s="241"/>
      <c r="C39" s="247" t="s">
        <v>61</v>
      </c>
      <c r="D39" s="173"/>
      <c r="E39" s="173"/>
      <c r="F39" s="173"/>
      <c r="G39" s="173"/>
      <c r="H39" s="173"/>
      <c r="I39" s="173"/>
      <c r="J39" s="173"/>
      <c r="K39" s="173"/>
      <c r="L39" s="173"/>
      <c r="M39" s="173"/>
      <c r="N39" s="173"/>
      <c r="O39" s="173"/>
      <c r="P39" s="173"/>
      <c r="Q39" s="173"/>
      <c r="R39" s="173"/>
      <c r="S39" s="173"/>
      <c r="T39" s="187"/>
    </row>
    <row r="40" spans="2:20" x14ac:dyDescent="0.25">
      <c r="B40" s="241"/>
      <c r="C40" s="173"/>
      <c r="D40" s="173"/>
      <c r="E40" s="173"/>
      <c r="F40" s="173"/>
      <c r="G40" s="173"/>
      <c r="H40" s="173"/>
      <c r="I40" s="173"/>
      <c r="J40" s="173"/>
      <c r="K40" s="173"/>
      <c r="L40" s="173"/>
      <c r="M40" s="173"/>
      <c r="N40" s="173"/>
      <c r="O40" s="173"/>
      <c r="P40" s="173"/>
      <c r="Q40" s="173"/>
      <c r="R40" s="173"/>
      <c r="S40" s="173"/>
      <c r="T40" s="187"/>
    </row>
    <row r="41" spans="2:20" x14ac:dyDescent="0.25">
      <c r="B41" s="245"/>
      <c r="C41" s="308"/>
      <c r="D41" s="173"/>
      <c r="E41" s="173"/>
      <c r="F41" s="173"/>
      <c r="G41" s="173"/>
      <c r="H41" s="173"/>
      <c r="I41" s="173"/>
      <c r="J41" s="173"/>
      <c r="K41" s="173"/>
      <c r="L41" s="173"/>
      <c r="M41" s="173"/>
      <c r="N41" s="173"/>
      <c r="O41" s="173"/>
      <c r="P41" s="173"/>
      <c r="Q41" s="173"/>
      <c r="R41" s="173"/>
      <c r="S41" s="173"/>
      <c r="T41" s="187"/>
    </row>
    <row r="42" spans="2:20" x14ac:dyDescent="0.25">
      <c r="B42" s="246"/>
      <c r="C42" s="309"/>
      <c r="D42" s="173"/>
      <c r="E42" s="173"/>
      <c r="F42" s="173"/>
      <c r="G42" s="173"/>
      <c r="H42" s="173"/>
      <c r="I42" s="173"/>
      <c r="J42" s="173"/>
      <c r="K42" s="173"/>
      <c r="L42" s="173"/>
      <c r="M42" s="173"/>
      <c r="N42" s="173"/>
      <c r="O42" s="173"/>
      <c r="P42" s="173"/>
      <c r="Q42" s="173"/>
      <c r="R42" s="173"/>
      <c r="S42" s="173"/>
      <c r="T42" s="187"/>
    </row>
    <row r="43" spans="2:20" x14ac:dyDescent="0.25">
      <c r="B43" s="246"/>
      <c r="C43" s="309"/>
      <c r="D43" s="173"/>
      <c r="E43" s="173"/>
      <c r="F43" s="173"/>
      <c r="G43" s="173"/>
      <c r="H43" s="173"/>
      <c r="I43" s="173"/>
      <c r="J43" s="173"/>
      <c r="K43" s="173"/>
      <c r="L43" s="173"/>
      <c r="M43" s="173"/>
      <c r="N43" s="173"/>
      <c r="O43" s="173"/>
      <c r="P43" s="173"/>
      <c r="Q43" s="173"/>
      <c r="R43" s="173"/>
      <c r="S43" s="173"/>
      <c r="T43" s="187"/>
    </row>
    <row r="44" spans="2:20" x14ac:dyDescent="0.25">
      <c r="B44" s="246"/>
      <c r="C44" s="309"/>
      <c r="D44" s="173"/>
      <c r="E44" s="173"/>
      <c r="F44" s="173"/>
      <c r="G44" s="173"/>
      <c r="H44" s="173"/>
      <c r="I44" s="173"/>
      <c r="J44" s="173"/>
      <c r="K44" s="173"/>
      <c r="L44" s="173"/>
      <c r="M44" s="173"/>
      <c r="N44" s="173"/>
      <c r="O44" s="173"/>
      <c r="P44" s="173"/>
      <c r="Q44" s="173"/>
      <c r="R44" s="173"/>
      <c r="S44" s="173"/>
      <c r="T44" s="187"/>
    </row>
    <row r="45" spans="2:20" x14ac:dyDescent="0.25">
      <c r="B45" s="241"/>
      <c r="C45" s="173"/>
      <c r="D45" s="173"/>
      <c r="E45" s="173"/>
      <c r="F45" s="173"/>
      <c r="G45" s="173"/>
      <c r="H45" s="173"/>
      <c r="I45" s="173"/>
      <c r="J45" s="173"/>
      <c r="K45" s="173"/>
      <c r="L45" s="173"/>
      <c r="M45" s="173"/>
      <c r="N45" s="173"/>
      <c r="O45" s="173"/>
      <c r="P45" s="173"/>
      <c r="Q45" s="173"/>
      <c r="R45" s="173"/>
      <c r="S45" s="173"/>
      <c r="T45" s="187"/>
    </row>
    <row r="46" spans="2:20" x14ac:dyDescent="0.25">
      <c r="B46" s="241"/>
      <c r="C46" s="173"/>
      <c r="D46" s="173"/>
      <c r="E46" s="173"/>
      <c r="F46" s="173"/>
      <c r="G46" s="173"/>
      <c r="H46" s="173"/>
      <c r="I46" s="173"/>
      <c r="J46" s="173"/>
      <c r="K46" s="173"/>
      <c r="L46" s="173"/>
      <c r="M46" s="173"/>
      <c r="N46" s="173"/>
      <c r="O46" s="173"/>
      <c r="P46" s="173"/>
      <c r="Q46" s="173"/>
      <c r="R46" s="173"/>
      <c r="S46" s="173"/>
      <c r="T46" s="187"/>
    </row>
    <row r="47" spans="2:20" x14ac:dyDescent="0.25">
      <c r="B47" s="241"/>
      <c r="C47" s="173"/>
      <c r="D47" s="173"/>
      <c r="E47" s="173"/>
      <c r="F47" s="173"/>
      <c r="G47" s="173"/>
      <c r="H47" s="173"/>
      <c r="I47" s="173"/>
      <c r="J47" s="173"/>
      <c r="K47" s="173"/>
      <c r="L47" s="173"/>
      <c r="M47" s="173"/>
      <c r="N47" s="173"/>
      <c r="O47" s="173"/>
      <c r="P47" s="173"/>
      <c r="Q47" s="173"/>
      <c r="R47" s="173"/>
      <c r="S47" s="173"/>
      <c r="T47" s="187"/>
    </row>
    <row r="48" spans="2:20" ht="13" x14ac:dyDescent="0.3">
      <c r="B48" s="241"/>
      <c r="C48" s="173"/>
      <c r="D48" s="173"/>
      <c r="E48" s="173"/>
      <c r="F48" s="173"/>
      <c r="G48" s="247"/>
      <c r="H48" s="173"/>
      <c r="I48" s="173"/>
      <c r="J48" s="173"/>
      <c r="K48" s="173"/>
      <c r="L48" s="173"/>
      <c r="M48" s="173"/>
      <c r="N48" s="173"/>
      <c r="O48" s="173"/>
      <c r="P48" s="173"/>
      <c r="Q48" s="173"/>
      <c r="R48" s="173"/>
      <c r="S48" s="173"/>
      <c r="T48" s="187"/>
    </row>
    <row r="49" spans="2:20" x14ac:dyDescent="0.25">
      <c r="B49" s="241"/>
      <c r="C49" s="173"/>
      <c r="D49" s="173"/>
      <c r="E49" s="173"/>
      <c r="F49" s="173"/>
      <c r="G49" s="173"/>
      <c r="H49" s="173"/>
      <c r="I49" s="173"/>
      <c r="J49" s="173"/>
      <c r="K49" s="173"/>
      <c r="L49" s="173"/>
      <c r="M49" s="173"/>
      <c r="N49" s="173"/>
      <c r="O49" s="173"/>
      <c r="P49" s="173"/>
      <c r="Q49" s="173"/>
      <c r="R49" s="173"/>
      <c r="S49" s="173"/>
      <c r="T49" s="187"/>
    </row>
    <row r="50" spans="2:20" x14ac:dyDescent="0.25">
      <c r="B50" s="241"/>
      <c r="C50" s="173"/>
      <c r="D50" s="173"/>
      <c r="E50" s="173"/>
      <c r="F50" s="173"/>
      <c r="G50" s="173"/>
      <c r="H50" s="173"/>
      <c r="I50" s="173"/>
      <c r="J50" s="173"/>
      <c r="K50" s="173"/>
      <c r="L50" s="173"/>
      <c r="M50" s="173"/>
      <c r="N50" s="173"/>
      <c r="O50" s="173"/>
      <c r="P50" s="173"/>
      <c r="Q50" s="173"/>
      <c r="R50" s="173"/>
      <c r="S50" s="173"/>
      <c r="T50" s="187"/>
    </row>
    <row r="51" spans="2:20" x14ac:dyDescent="0.25">
      <c r="B51" s="241"/>
      <c r="C51" s="173"/>
      <c r="D51" s="173"/>
      <c r="E51" s="173"/>
      <c r="F51" s="173"/>
      <c r="G51" s="173"/>
      <c r="H51" s="173"/>
      <c r="I51" s="173"/>
      <c r="J51" s="173"/>
      <c r="K51" s="173"/>
      <c r="L51" s="173"/>
      <c r="M51" s="173"/>
      <c r="N51" s="173"/>
      <c r="O51" s="173"/>
      <c r="P51" s="173"/>
      <c r="Q51" s="173"/>
      <c r="R51" s="173"/>
      <c r="S51" s="173"/>
      <c r="T51" s="187"/>
    </row>
    <row r="52" spans="2:20" x14ac:dyDescent="0.25">
      <c r="B52" s="241"/>
      <c r="C52" s="173"/>
      <c r="D52" s="173"/>
      <c r="E52" s="173"/>
      <c r="F52" s="173"/>
      <c r="G52" s="173"/>
      <c r="H52" s="173"/>
      <c r="I52" s="173"/>
      <c r="J52" s="173"/>
      <c r="K52" s="173"/>
      <c r="L52" s="173"/>
      <c r="M52" s="173"/>
      <c r="N52" s="173"/>
      <c r="O52" s="173"/>
      <c r="P52" s="173"/>
      <c r="Q52" s="173"/>
      <c r="R52" s="173"/>
      <c r="S52" s="173"/>
      <c r="T52" s="187"/>
    </row>
    <row r="53" spans="2:20" x14ac:dyDescent="0.25">
      <c r="B53" s="241"/>
      <c r="C53" s="173"/>
      <c r="D53" s="173"/>
      <c r="E53" s="173"/>
      <c r="F53" s="173"/>
      <c r="G53" s="173"/>
      <c r="H53" s="173"/>
      <c r="I53" s="173"/>
      <c r="J53" s="173"/>
      <c r="K53" s="173"/>
      <c r="L53" s="173"/>
      <c r="M53" s="173"/>
      <c r="N53" s="173"/>
      <c r="O53" s="173"/>
      <c r="P53" s="173"/>
      <c r="Q53" s="173"/>
      <c r="R53" s="173"/>
      <c r="S53" s="173"/>
      <c r="T53" s="187"/>
    </row>
    <row r="54" spans="2:20" ht="13" x14ac:dyDescent="0.25">
      <c r="B54" s="241"/>
      <c r="T54" s="311"/>
    </row>
    <row r="55" spans="2:20" ht="13" x14ac:dyDescent="0.3">
      <c r="B55" s="241"/>
      <c r="C55" s="309" t="s">
        <v>302</v>
      </c>
      <c r="D55" s="173"/>
      <c r="E55" s="173"/>
      <c r="F55" s="173"/>
      <c r="G55" s="173"/>
      <c r="H55" s="173"/>
      <c r="I55" s="173"/>
      <c r="J55" s="173"/>
      <c r="K55" s="173"/>
      <c r="L55" s="173"/>
      <c r="M55" s="173"/>
      <c r="N55" s="173"/>
      <c r="O55" s="173"/>
      <c r="P55" s="173"/>
      <c r="Q55" s="173"/>
      <c r="R55" s="173"/>
      <c r="S55" s="173"/>
      <c r="T55" s="187"/>
    </row>
    <row r="56" spans="2:20" x14ac:dyDescent="0.25">
      <c r="B56" s="241"/>
      <c r="C56" s="174" t="s">
        <v>303</v>
      </c>
      <c r="D56" s="173"/>
      <c r="E56" s="173"/>
      <c r="F56" s="173"/>
      <c r="G56" s="173"/>
      <c r="H56" s="173"/>
      <c r="I56" s="173"/>
      <c r="J56" s="173"/>
      <c r="K56" s="173"/>
      <c r="L56" s="173"/>
      <c r="M56" s="173"/>
      <c r="N56" s="173"/>
      <c r="O56" s="173"/>
      <c r="P56" s="173"/>
      <c r="Q56" s="173"/>
      <c r="R56" s="173"/>
      <c r="S56" s="173"/>
      <c r="T56" s="187"/>
    </row>
    <row r="57" spans="2:20" x14ac:dyDescent="0.25">
      <c r="B57" s="241"/>
      <c r="C57" s="174"/>
      <c r="D57" s="173"/>
      <c r="E57" s="173"/>
      <c r="F57" s="173"/>
      <c r="G57" s="173"/>
      <c r="H57" s="173"/>
      <c r="I57" s="173"/>
      <c r="J57" s="173"/>
      <c r="K57" s="173"/>
      <c r="L57" s="173"/>
      <c r="M57" s="173"/>
      <c r="N57" s="173"/>
      <c r="O57" s="173"/>
      <c r="P57" s="173"/>
      <c r="Q57" s="173"/>
      <c r="R57" s="173"/>
      <c r="S57" s="173"/>
      <c r="T57" s="187"/>
    </row>
    <row r="58" spans="2:20" ht="13" x14ac:dyDescent="0.25">
      <c r="B58" s="241"/>
      <c r="C58" s="465" t="s">
        <v>276</v>
      </c>
      <c r="D58" s="467"/>
      <c r="E58" s="467"/>
      <c r="F58" s="467"/>
      <c r="G58" s="467"/>
      <c r="H58" s="467"/>
      <c r="I58" s="467"/>
      <c r="J58" s="467"/>
      <c r="K58" s="467"/>
      <c r="L58" s="467"/>
      <c r="M58" s="467"/>
      <c r="N58" s="467"/>
      <c r="O58" s="467"/>
      <c r="P58" s="467"/>
      <c r="Q58" s="467"/>
      <c r="R58" s="467"/>
      <c r="S58" s="467"/>
      <c r="T58" s="187"/>
    </row>
    <row r="59" spans="2:20" x14ac:dyDescent="0.25">
      <c r="B59" s="241"/>
      <c r="C59" s="467" t="s">
        <v>277</v>
      </c>
      <c r="D59" s="467"/>
      <c r="E59" s="467"/>
      <c r="F59" s="467"/>
      <c r="G59" s="467"/>
      <c r="H59" s="467"/>
      <c r="I59" s="467"/>
      <c r="J59" s="467"/>
      <c r="K59" s="467"/>
      <c r="L59" s="467"/>
      <c r="M59" s="467"/>
      <c r="N59" s="467"/>
      <c r="O59" s="467"/>
      <c r="P59" s="467"/>
      <c r="Q59" s="467"/>
      <c r="R59" s="467"/>
      <c r="S59" s="467"/>
      <c r="T59" s="187"/>
    </row>
    <row r="60" spans="2:20" x14ac:dyDescent="0.25">
      <c r="B60" s="241"/>
      <c r="C60" s="195"/>
      <c r="D60" s="173"/>
      <c r="E60" s="173"/>
      <c r="F60" s="173"/>
      <c r="G60" s="173"/>
      <c r="H60" s="173"/>
      <c r="I60" s="173"/>
      <c r="J60" s="173"/>
      <c r="K60" s="173"/>
      <c r="L60" s="173"/>
      <c r="M60" s="173"/>
      <c r="N60" s="173"/>
      <c r="O60" s="173"/>
      <c r="P60" s="173"/>
      <c r="Q60" s="173"/>
      <c r="R60" s="173"/>
      <c r="S60" s="173"/>
      <c r="T60" s="187"/>
    </row>
    <row r="61" spans="2:20" ht="12.75" customHeight="1" x14ac:dyDescent="0.3">
      <c r="B61" s="186"/>
      <c r="C61" s="464" t="s">
        <v>266</v>
      </c>
      <c r="D61" s="464"/>
      <c r="E61" s="464"/>
      <c r="F61" s="464"/>
      <c r="G61" s="464"/>
      <c r="H61" s="464"/>
      <c r="I61" s="464"/>
      <c r="J61" s="464"/>
      <c r="K61" s="464"/>
      <c r="L61" s="464"/>
      <c r="M61" s="464"/>
      <c r="N61" s="464"/>
      <c r="O61" s="464"/>
      <c r="P61" s="464"/>
      <c r="Q61" s="464"/>
      <c r="R61" s="464"/>
      <c r="S61" s="464"/>
      <c r="T61" s="187"/>
    </row>
    <row r="62" spans="2:20" ht="13" x14ac:dyDescent="0.3">
      <c r="B62" s="186"/>
      <c r="C62" s="465" t="s">
        <v>267</v>
      </c>
      <c r="D62" s="464"/>
      <c r="E62" s="464"/>
      <c r="F62" s="464"/>
      <c r="G62" s="464"/>
      <c r="H62" s="464"/>
      <c r="I62" s="464"/>
      <c r="J62" s="464"/>
      <c r="K62" s="464"/>
      <c r="L62" s="464"/>
      <c r="M62" s="464"/>
      <c r="N62" s="464"/>
      <c r="O62" s="464"/>
      <c r="P62" s="464"/>
      <c r="Q62" s="464"/>
      <c r="R62" s="464"/>
      <c r="S62" s="464"/>
      <c r="T62" s="187"/>
    </row>
    <row r="63" spans="2:20" ht="13" x14ac:dyDescent="0.3">
      <c r="B63" s="186"/>
      <c r="C63" s="465" t="s">
        <v>268</v>
      </c>
      <c r="D63" s="464"/>
      <c r="E63" s="464"/>
      <c r="F63" s="464"/>
      <c r="G63" s="464"/>
      <c r="H63" s="464"/>
      <c r="I63" s="464"/>
      <c r="J63" s="464"/>
      <c r="K63" s="464"/>
      <c r="L63" s="464"/>
      <c r="M63" s="464"/>
      <c r="N63" s="464"/>
      <c r="O63" s="464"/>
      <c r="P63" s="464"/>
      <c r="Q63" s="464"/>
      <c r="R63" s="464"/>
      <c r="S63" s="464"/>
      <c r="T63" s="187"/>
    </row>
    <row r="64" spans="2:20" ht="13" thickBot="1" x14ac:dyDescent="0.3">
      <c r="B64" s="210"/>
      <c r="C64" s="211"/>
      <c r="D64" s="211"/>
      <c r="E64" s="211"/>
      <c r="F64" s="211"/>
      <c r="G64" s="211"/>
      <c r="H64" s="211"/>
      <c r="I64" s="211"/>
      <c r="J64" s="211"/>
      <c r="K64" s="211"/>
      <c r="L64" s="211"/>
      <c r="M64" s="211"/>
      <c r="N64" s="211"/>
      <c r="O64" s="211"/>
      <c r="P64" s="211"/>
      <c r="Q64" s="211"/>
      <c r="R64" s="211"/>
      <c r="S64" s="211"/>
      <c r="T64" s="218"/>
    </row>
  </sheetData>
  <sheetProtection sheet="1" objects="1" scenarios="1"/>
  <phoneticPr fontId="16" type="noConversion"/>
  <pageMargins left="0.75" right="0.75" top="1" bottom="1" header="0.5" footer="0.5"/>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7C6E5-38EE-4A28-9242-1AAF86A49FA9}">
  <dimension ref="A1"/>
  <sheetViews>
    <sheetView workbookViewId="0"/>
  </sheetViews>
  <sheetFormatPr defaultRowHeight="12.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U40"/>
  <sheetViews>
    <sheetView topLeftCell="A13" zoomScaleNormal="100" workbookViewId="0">
      <selection activeCell="L21" sqref="L21"/>
    </sheetView>
  </sheetViews>
  <sheetFormatPr defaultColWidth="9.1796875" defaultRowHeight="12.5" x14ac:dyDescent="0.25"/>
  <cols>
    <col min="1" max="1" width="1" style="171" customWidth="1"/>
    <col min="2" max="8" width="7.54296875" style="171" customWidth="1"/>
    <col min="9" max="9" width="17" style="171" customWidth="1"/>
    <col min="10" max="10" width="2.54296875" style="171" customWidth="1"/>
    <col min="11" max="11" width="9.453125" style="171" customWidth="1"/>
    <col min="12" max="20" width="8.81640625" style="171" customWidth="1"/>
    <col min="21" max="21" width="1.1796875" style="171" customWidth="1"/>
    <col min="22" max="16384" width="9.1796875" style="171"/>
  </cols>
  <sheetData>
    <row r="1" spans="2:21" ht="6.75" customHeight="1" thickBot="1" x14ac:dyDescent="0.3"/>
    <row r="2" spans="2:21" ht="16" thickBot="1" x14ac:dyDescent="0.3">
      <c r="B2" s="411" t="s">
        <v>59</v>
      </c>
      <c r="C2" s="412"/>
      <c r="D2" s="412"/>
      <c r="E2" s="412"/>
      <c r="F2" s="412"/>
      <c r="G2" s="412"/>
      <c r="H2" s="412"/>
      <c r="I2" s="412"/>
      <c r="J2" s="412"/>
      <c r="K2" s="412"/>
      <c r="L2" s="412"/>
      <c r="M2" s="412"/>
      <c r="N2" s="412"/>
      <c r="O2" s="412"/>
      <c r="P2" s="412"/>
      <c r="Q2" s="412"/>
      <c r="R2" s="412"/>
      <c r="S2" s="412"/>
      <c r="T2" s="412"/>
      <c r="U2" s="413"/>
    </row>
    <row r="3" spans="2:21" x14ac:dyDescent="0.25">
      <c r="B3" s="183"/>
      <c r="C3" s="184"/>
      <c r="D3" s="184"/>
      <c r="E3" s="184"/>
      <c r="F3" s="184"/>
      <c r="G3" s="184"/>
      <c r="H3" s="184"/>
      <c r="I3" s="184"/>
      <c r="J3" s="184"/>
      <c r="K3" s="184"/>
      <c r="L3" s="184"/>
      <c r="M3" s="184"/>
      <c r="N3" s="184"/>
      <c r="O3" s="184"/>
      <c r="P3" s="184"/>
      <c r="Q3" s="184"/>
      <c r="R3" s="184"/>
      <c r="S3" s="184"/>
      <c r="T3" s="184"/>
      <c r="U3" s="185"/>
    </row>
    <row r="4" spans="2:21" ht="13" x14ac:dyDescent="0.3">
      <c r="B4" s="186" t="s">
        <v>51</v>
      </c>
      <c r="C4" s="173"/>
      <c r="D4" s="173"/>
      <c r="E4" s="173"/>
      <c r="F4" s="173"/>
      <c r="G4" s="173"/>
      <c r="H4" s="173"/>
      <c r="I4" s="173"/>
      <c r="J4" s="173"/>
      <c r="K4" s="173"/>
      <c r="L4" s="173"/>
      <c r="M4" s="173"/>
      <c r="N4" s="173"/>
      <c r="O4" s="173"/>
      <c r="P4" s="173"/>
      <c r="Q4" s="173"/>
      <c r="R4" s="173"/>
      <c r="S4" s="173"/>
      <c r="T4" s="173"/>
      <c r="U4" s="187"/>
    </row>
    <row r="5" spans="2:21" ht="13" x14ac:dyDescent="0.25">
      <c r="B5" s="415" t="s">
        <v>226</v>
      </c>
      <c r="C5" s="418"/>
      <c r="D5" s="418"/>
      <c r="E5" s="418"/>
      <c r="F5" s="418"/>
      <c r="G5" s="418"/>
      <c r="H5" s="418"/>
      <c r="I5" s="418"/>
      <c r="J5" s="418"/>
      <c r="K5" s="418"/>
      <c r="L5" s="418"/>
      <c r="M5" s="418"/>
      <c r="N5" s="418"/>
      <c r="O5" s="418"/>
      <c r="P5" s="418"/>
      <c r="Q5" s="418"/>
      <c r="R5" s="418"/>
      <c r="S5" s="418"/>
      <c r="T5" s="418"/>
      <c r="U5" s="419"/>
    </row>
    <row r="6" spans="2:21" x14ac:dyDescent="0.25">
      <c r="B6" s="415" t="s">
        <v>227</v>
      </c>
      <c r="C6" s="418"/>
      <c r="D6" s="418"/>
      <c r="E6" s="418"/>
      <c r="F6" s="418"/>
      <c r="G6" s="418"/>
      <c r="H6" s="418"/>
      <c r="I6" s="418"/>
      <c r="J6" s="418"/>
      <c r="K6" s="418"/>
      <c r="L6" s="418"/>
      <c r="M6" s="418"/>
      <c r="N6" s="418"/>
      <c r="O6" s="418"/>
      <c r="P6" s="418"/>
      <c r="Q6" s="418"/>
      <c r="R6" s="418"/>
      <c r="S6" s="418"/>
      <c r="T6" s="418"/>
      <c r="U6" s="419"/>
    </row>
    <row r="7" spans="2:21" ht="12.75" customHeight="1" x14ac:dyDescent="0.25">
      <c r="B7" s="414" t="s">
        <v>189</v>
      </c>
      <c r="C7" s="195"/>
      <c r="D7" s="195"/>
      <c r="E7" s="195"/>
      <c r="F7" s="195"/>
      <c r="G7" s="195"/>
      <c r="H7" s="195"/>
      <c r="I7" s="195"/>
      <c r="J7" s="195"/>
      <c r="K7" s="195"/>
      <c r="L7" s="195"/>
      <c r="M7" s="195"/>
      <c r="N7" s="195"/>
      <c r="O7" s="195"/>
      <c r="P7" s="195"/>
      <c r="Q7" s="195"/>
      <c r="R7" s="195"/>
      <c r="S7" s="195"/>
      <c r="T7" s="195"/>
      <c r="U7" s="214"/>
    </row>
    <row r="8" spans="2:21" ht="25.5" customHeight="1" x14ac:dyDescent="0.25">
      <c r="B8" s="415" t="s">
        <v>205</v>
      </c>
      <c r="C8" s="416"/>
      <c r="D8" s="416"/>
      <c r="E8" s="416"/>
      <c r="F8" s="416"/>
      <c r="G8" s="416"/>
      <c r="H8" s="416"/>
      <c r="I8" s="416"/>
      <c r="J8" s="416"/>
      <c r="K8" s="416"/>
      <c r="L8" s="416"/>
      <c r="M8" s="416"/>
      <c r="N8" s="416"/>
      <c r="O8" s="416"/>
      <c r="P8" s="416"/>
      <c r="Q8" s="416"/>
      <c r="R8" s="416"/>
      <c r="S8" s="416"/>
      <c r="T8" s="416"/>
      <c r="U8" s="417"/>
    </row>
    <row r="9" spans="2:21" ht="12.75" customHeight="1" thickBot="1" x14ac:dyDescent="0.3">
      <c r="B9" s="188"/>
      <c r="C9" s="189"/>
      <c r="D9" s="189"/>
      <c r="E9" s="189"/>
      <c r="F9" s="189"/>
      <c r="G9" s="189"/>
      <c r="H9" s="189"/>
      <c r="I9" s="189"/>
      <c r="J9" s="189"/>
      <c r="K9" s="189"/>
      <c r="L9" s="189"/>
      <c r="M9" s="189"/>
      <c r="N9" s="189"/>
      <c r="O9" s="189"/>
      <c r="P9" s="189"/>
      <c r="Q9" s="189"/>
      <c r="R9" s="189"/>
      <c r="S9" s="189"/>
      <c r="T9" s="189"/>
      <c r="U9" s="190"/>
    </row>
    <row r="10" spans="2:21" ht="16.5" customHeight="1" thickBot="1" x14ac:dyDescent="0.3">
      <c r="B10" s="397" t="s">
        <v>175</v>
      </c>
      <c r="C10" s="398"/>
      <c r="D10" s="398"/>
      <c r="E10" s="398"/>
      <c r="F10" s="398"/>
      <c r="G10" s="398"/>
      <c r="H10" s="398"/>
      <c r="I10" s="398"/>
      <c r="J10" s="181"/>
      <c r="K10" s="181"/>
      <c r="L10" s="181"/>
      <c r="M10" s="181"/>
      <c r="N10" s="181"/>
      <c r="O10" s="181"/>
      <c r="P10" s="181"/>
      <c r="Q10" s="181"/>
      <c r="R10" s="181"/>
      <c r="S10" s="181"/>
      <c r="T10" s="181"/>
      <c r="U10" s="182"/>
    </row>
    <row r="11" spans="2:21" ht="13" x14ac:dyDescent="0.3">
      <c r="B11" s="399"/>
      <c r="C11" s="400"/>
      <c r="D11" s="400"/>
      <c r="E11" s="400"/>
      <c r="F11" s="400"/>
      <c r="G11" s="400"/>
      <c r="H11" s="400"/>
      <c r="I11" s="401"/>
      <c r="J11" s="173"/>
      <c r="K11" s="192"/>
      <c r="L11" s="193" t="s">
        <v>99</v>
      </c>
      <c r="M11" s="193" t="s">
        <v>100</v>
      </c>
      <c r="N11" s="193" t="s">
        <v>101</v>
      </c>
      <c r="O11" s="193" t="s">
        <v>102</v>
      </c>
      <c r="P11" s="193" t="s">
        <v>103</v>
      </c>
      <c r="Q11" s="193" t="s">
        <v>104</v>
      </c>
      <c r="R11" s="193" t="s">
        <v>105</v>
      </c>
      <c r="S11" s="193" t="s">
        <v>106</v>
      </c>
      <c r="T11" s="193" t="s">
        <v>107</v>
      </c>
      <c r="U11" s="187"/>
    </row>
    <row r="12" spans="2:21" ht="13" x14ac:dyDescent="0.25">
      <c r="B12" s="213"/>
      <c r="C12" s="402"/>
      <c r="D12" s="363"/>
      <c r="E12" s="363"/>
      <c r="F12" s="363"/>
      <c r="G12" s="363"/>
      <c r="H12" s="363"/>
      <c r="I12" s="403" t="s">
        <v>33</v>
      </c>
      <c r="J12" s="173"/>
      <c r="K12" s="495" t="s">
        <v>281</v>
      </c>
      <c r="L12" s="334"/>
      <c r="M12" s="334"/>
      <c r="N12" s="334"/>
      <c r="O12" s="334"/>
      <c r="P12" s="334"/>
      <c r="Q12" s="334"/>
      <c r="R12" s="334"/>
      <c r="S12" s="334"/>
      <c r="T12" s="334"/>
      <c r="U12" s="112"/>
    </row>
    <row r="13" spans="2:21" s="219" customFormat="1" ht="14.25" customHeight="1" x14ac:dyDescent="0.3">
      <c r="B13" s="213"/>
      <c r="C13" s="395"/>
      <c r="D13" s="394"/>
      <c r="E13" s="394"/>
      <c r="F13" s="394"/>
      <c r="G13" s="394"/>
      <c r="H13" s="394"/>
      <c r="I13" s="404" t="s">
        <v>34</v>
      </c>
      <c r="J13" s="195"/>
      <c r="K13" s="496">
        <v>0.3</v>
      </c>
      <c r="L13" s="352"/>
      <c r="M13" s="352"/>
      <c r="N13" s="352"/>
      <c r="O13" s="352"/>
      <c r="P13" s="352"/>
      <c r="Q13" s="352"/>
      <c r="R13" s="352"/>
      <c r="S13" s="352"/>
      <c r="T13" s="335"/>
      <c r="U13" s="94"/>
    </row>
    <row r="14" spans="2:21" s="219" customFormat="1" ht="13" x14ac:dyDescent="0.25">
      <c r="B14" s="405"/>
      <c r="C14" s="396"/>
      <c r="D14" s="396"/>
      <c r="E14" s="396"/>
      <c r="F14" s="396"/>
      <c r="G14" s="396"/>
      <c r="H14" s="396"/>
      <c r="I14" s="406" t="s">
        <v>225</v>
      </c>
      <c r="J14" s="195"/>
      <c r="K14" s="497" t="s">
        <v>295</v>
      </c>
      <c r="L14" s="336"/>
      <c r="M14" s="336"/>
      <c r="N14" s="336"/>
      <c r="O14" s="336"/>
      <c r="P14" s="336"/>
      <c r="Q14" s="336"/>
      <c r="R14" s="336"/>
      <c r="S14" s="336"/>
      <c r="T14" s="336"/>
      <c r="U14" s="214"/>
    </row>
    <row r="15" spans="2:21" s="219" customFormat="1" ht="12.75" customHeight="1" x14ac:dyDescent="0.25">
      <c r="B15" s="215"/>
      <c r="C15" s="395"/>
      <c r="D15" s="393"/>
      <c r="E15" s="393"/>
      <c r="F15" s="393"/>
      <c r="G15" s="393"/>
      <c r="H15" s="393"/>
      <c r="I15" s="407" t="s">
        <v>199</v>
      </c>
      <c r="J15" s="195"/>
      <c r="K15" s="497" t="s">
        <v>282</v>
      </c>
      <c r="L15" s="336"/>
      <c r="M15" s="336"/>
      <c r="N15" s="336"/>
      <c r="O15" s="336"/>
      <c r="P15" s="336"/>
      <c r="Q15" s="336"/>
      <c r="R15" s="336"/>
      <c r="S15" s="336"/>
      <c r="T15" s="336"/>
      <c r="U15" s="214"/>
    </row>
    <row r="16" spans="2:21" s="219" customFormat="1" ht="12.75" customHeight="1" x14ac:dyDescent="0.3">
      <c r="B16" s="405"/>
      <c r="C16" s="365"/>
      <c r="D16" s="365"/>
      <c r="E16" s="365"/>
      <c r="F16" s="365"/>
      <c r="G16" s="365"/>
      <c r="H16" s="365"/>
      <c r="I16" s="407" t="s">
        <v>198</v>
      </c>
      <c r="J16" s="195"/>
      <c r="K16" s="497" t="s">
        <v>283</v>
      </c>
      <c r="L16" s="336"/>
      <c r="M16" s="336"/>
      <c r="N16" s="336"/>
      <c r="O16" s="336"/>
      <c r="P16" s="336"/>
      <c r="Q16" s="336"/>
      <c r="R16" s="336"/>
      <c r="S16" s="336"/>
      <c r="T16" s="336"/>
      <c r="U16" s="214"/>
    </row>
    <row r="17" spans="2:21" s="219" customFormat="1" ht="12.75" customHeight="1" x14ac:dyDescent="0.25">
      <c r="B17" s="405"/>
      <c r="C17" s="365"/>
      <c r="D17" s="365"/>
      <c r="E17" s="365"/>
      <c r="F17" s="365"/>
      <c r="G17" s="365"/>
      <c r="H17" s="365"/>
      <c r="I17" s="407" t="s">
        <v>200</v>
      </c>
      <c r="J17" s="195"/>
      <c r="K17" s="497">
        <v>50</v>
      </c>
      <c r="L17" s="336"/>
      <c r="M17" s="336"/>
      <c r="N17" s="336"/>
      <c r="O17" s="336"/>
      <c r="P17" s="336"/>
      <c r="Q17" s="336"/>
      <c r="R17" s="336"/>
      <c r="S17" s="336"/>
      <c r="T17" s="336"/>
      <c r="U17" s="214"/>
    </row>
    <row r="18" spans="2:21" s="219" customFormat="1" ht="12.75" customHeight="1" x14ac:dyDescent="0.25">
      <c r="B18" s="213"/>
      <c r="C18" s="395"/>
      <c r="D18" s="364"/>
      <c r="E18" s="364"/>
      <c r="F18" s="364"/>
      <c r="G18" s="364"/>
      <c r="H18" s="364"/>
      <c r="I18" s="407" t="s">
        <v>204</v>
      </c>
      <c r="J18" s="195"/>
      <c r="K18" s="497">
        <v>30</v>
      </c>
      <c r="L18" s="336"/>
      <c r="M18" s="336"/>
      <c r="N18" s="336"/>
      <c r="O18" s="336"/>
      <c r="P18" s="336"/>
      <c r="Q18" s="336"/>
      <c r="R18" s="336"/>
      <c r="S18" s="336"/>
      <c r="T18" s="336"/>
      <c r="U18" s="214"/>
    </row>
    <row r="19" spans="2:21" s="219" customFormat="1" ht="12.75" customHeight="1" x14ac:dyDescent="0.25">
      <c r="B19" s="213"/>
      <c r="C19" s="395"/>
      <c r="D19" s="364"/>
      <c r="E19" s="364"/>
      <c r="F19" s="364"/>
      <c r="G19" s="364"/>
      <c r="H19" s="364"/>
      <c r="I19" s="407" t="s">
        <v>201</v>
      </c>
      <c r="J19" s="195"/>
      <c r="K19" s="498">
        <v>1</v>
      </c>
      <c r="L19" s="337"/>
      <c r="M19" s="337"/>
      <c r="N19" s="337"/>
      <c r="O19" s="337"/>
      <c r="P19" s="337"/>
      <c r="Q19" s="337"/>
      <c r="R19" s="337"/>
      <c r="S19" s="337"/>
      <c r="T19" s="337"/>
      <c r="U19" s="214"/>
    </row>
    <row r="20" spans="2:21" s="219" customFormat="1" ht="12.75" customHeight="1" x14ac:dyDescent="0.25">
      <c r="B20" s="215"/>
      <c r="C20" s="395"/>
      <c r="D20" s="393"/>
      <c r="E20" s="393"/>
      <c r="F20" s="393"/>
      <c r="G20" s="393"/>
      <c r="H20" s="393"/>
      <c r="I20" s="407" t="s">
        <v>202</v>
      </c>
      <c r="J20" s="195"/>
      <c r="K20" s="497">
        <v>24</v>
      </c>
      <c r="L20" s="336"/>
      <c r="M20" s="336"/>
      <c r="N20" s="336"/>
      <c r="O20" s="336"/>
      <c r="P20" s="336"/>
      <c r="Q20" s="336"/>
      <c r="R20" s="336"/>
      <c r="S20" s="336"/>
      <c r="T20" s="336"/>
      <c r="U20" s="214"/>
    </row>
    <row r="21" spans="2:21" s="219" customFormat="1" ht="12.75" customHeight="1" x14ac:dyDescent="0.25">
      <c r="B21" s="405"/>
      <c r="C21" s="395"/>
      <c r="D21" s="364"/>
      <c r="E21" s="364"/>
      <c r="F21" s="364"/>
      <c r="G21" s="364"/>
      <c r="H21" s="364"/>
      <c r="I21" s="407" t="s">
        <v>203</v>
      </c>
      <c r="J21" s="195"/>
      <c r="K21" s="498" t="s">
        <v>284</v>
      </c>
      <c r="L21" s="337"/>
      <c r="M21" s="337"/>
      <c r="N21" s="337"/>
      <c r="O21" s="337"/>
      <c r="P21" s="337"/>
      <c r="Q21" s="337"/>
      <c r="R21" s="337"/>
      <c r="S21" s="337"/>
      <c r="T21" s="337"/>
      <c r="U21" s="214"/>
    </row>
    <row r="22" spans="2:21" s="219" customFormat="1" ht="12.75" customHeight="1" thickBot="1" x14ac:dyDescent="0.35">
      <c r="B22" s="408"/>
      <c r="C22" s="409"/>
      <c r="D22" s="409"/>
      <c r="E22" s="409"/>
      <c r="F22" s="409"/>
      <c r="G22" s="409"/>
      <c r="H22" s="409"/>
      <c r="I22" s="410" t="s">
        <v>305</v>
      </c>
      <c r="J22" s="195"/>
      <c r="K22" s="84">
        <f>IF(OR(K14="n",K15="y"),"",K20/K17)</f>
        <v>0.48</v>
      </c>
      <c r="L22" s="84" t="e">
        <f t="shared" ref="L22:T22" si="0">IF(OR(L14="n",L15="y"),"",L20/L17)</f>
        <v>#DIV/0!</v>
      </c>
      <c r="M22" s="84" t="e">
        <f t="shared" si="0"/>
        <v>#DIV/0!</v>
      </c>
      <c r="N22" s="84" t="e">
        <f t="shared" si="0"/>
        <v>#DIV/0!</v>
      </c>
      <c r="O22" s="84" t="e">
        <f t="shared" si="0"/>
        <v>#DIV/0!</v>
      </c>
      <c r="P22" s="84" t="e">
        <f t="shared" si="0"/>
        <v>#DIV/0!</v>
      </c>
      <c r="Q22" s="84" t="e">
        <f t="shared" si="0"/>
        <v>#DIV/0!</v>
      </c>
      <c r="R22" s="84" t="e">
        <f t="shared" si="0"/>
        <v>#DIV/0!</v>
      </c>
      <c r="S22" s="84" t="e">
        <f t="shared" si="0"/>
        <v>#DIV/0!</v>
      </c>
      <c r="T22" s="84" t="e">
        <f t="shared" si="0"/>
        <v>#DIV/0!</v>
      </c>
      <c r="U22" s="214"/>
    </row>
    <row r="23" spans="2:21" s="219" customFormat="1" ht="14.25" customHeight="1" x14ac:dyDescent="0.25">
      <c r="B23" s="194"/>
      <c r="C23" s="195"/>
      <c r="D23" s="195"/>
      <c r="E23" s="195"/>
      <c r="F23" s="195"/>
      <c r="G23" s="195"/>
      <c r="H23" s="195"/>
      <c r="I23" s="195"/>
      <c r="J23" s="195"/>
      <c r="K23" s="195"/>
      <c r="L23" s="195"/>
      <c r="M23" s="195"/>
      <c r="N23" s="195"/>
      <c r="O23" s="195"/>
      <c r="P23" s="195"/>
      <c r="Q23" s="195"/>
      <c r="R23" s="195"/>
      <c r="S23" s="195"/>
      <c r="T23" s="195"/>
      <c r="U23" s="214"/>
    </row>
    <row r="24" spans="2:21" s="219" customFormat="1" ht="14.25" customHeight="1" x14ac:dyDescent="0.3">
      <c r="B24" s="196" t="s">
        <v>63</v>
      </c>
      <c r="C24" s="195"/>
      <c r="D24" s="195"/>
      <c r="E24" s="195"/>
      <c r="F24" s="195"/>
      <c r="G24" s="197"/>
      <c r="H24" s="195"/>
      <c r="I24" s="195"/>
      <c r="J24" s="195"/>
      <c r="K24" s="198"/>
      <c r="L24" s="198"/>
      <c r="M24" s="198"/>
      <c r="N24" s="198"/>
      <c r="O24" s="198"/>
      <c r="P24" s="198"/>
      <c r="Q24" s="198"/>
      <c r="R24" s="198"/>
      <c r="S24" s="198"/>
      <c r="T24" s="198"/>
      <c r="U24" s="214"/>
    </row>
    <row r="25" spans="2:21" s="219" customFormat="1" ht="14.25" customHeight="1" x14ac:dyDescent="0.3">
      <c r="B25" s="245" t="s">
        <v>196</v>
      </c>
      <c r="C25" s="195"/>
      <c r="D25" s="195"/>
      <c r="E25" s="195"/>
      <c r="F25" s="195"/>
      <c r="G25" s="195"/>
      <c r="H25" s="195"/>
      <c r="I25" s="197"/>
      <c r="J25" s="195"/>
      <c r="K25" s="199" t="str">
        <f>IF(AND(K21="fd",(OR(K14="c", K14="h",K14="r",K15="y"))),"yes","no")</f>
        <v>yes</v>
      </c>
      <c r="L25" s="199" t="str">
        <f t="shared" ref="L25:R25" si="1">IF(AND(L21="fd",(OR(L14="c", L14="h",L14="r",L15="y"))),"yes","no")</f>
        <v>no</v>
      </c>
      <c r="M25" s="199" t="str">
        <f t="shared" si="1"/>
        <v>no</v>
      </c>
      <c r="N25" s="199" t="str">
        <f t="shared" si="1"/>
        <v>no</v>
      </c>
      <c r="O25" s="199" t="str">
        <f t="shared" si="1"/>
        <v>no</v>
      </c>
      <c r="P25" s="199" t="str">
        <f t="shared" si="1"/>
        <v>no</v>
      </c>
      <c r="Q25" s="199" t="str">
        <f t="shared" si="1"/>
        <v>no</v>
      </c>
      <c r="R25" s="199" t="str">
        <f t="shared" si="1"/>
        <v>no</v>
      </c>
      <c r="S25" s="81" t="str">
        <f>IF(AND(S21="fd",(OR(S14="c", S14="h",S14="r",S15="y"))),"yes","no")</f>
        <v>no</v>
      </c>
      <c r="T25" s="81" t="str">
        <f>IF(AND(T21="fd",(OR(T14="c", T14="h",T14="r",T15="y"))),"yes","no")</f>
        <v>no</v>
      </c>
      <c r="U25" s="214"/>
    </row>
    <row r="26" spans="2:21" s="219" customFormat="1" ht="14.25" customHeight="1" x14ac:dyDescent="0.3">
      <c r="B26" s="245" t="s">
        <v>197</v>
      </c>
      <c r="C26" s="195"/>
      <c r="D26" s="195"/>
      <c r="E26" s="195"/>
      <c r="F26" s="195"/>
      <c r="G26" s="195"/>
      <c r="H26" s="195"/>
      <c r="I26" s="197"/>
      <c r="J26" s="195"/>
      <c r="K26" s="199" t="str">
        <f>IF(K14="n", "no", IF(AND(K16="y", K21="fd"),"yes", "no"))</f>
        <v>yes</v>
      </c>
      <c r="L26" s="199" t="str">
        <f t="shared" ref="L26:T26" si="2">IF(L14="n", "no", IF(AND(L16="y", L21="fd"),"yes", "no"))</f>
        <v>no</v>
      </c>
      <c r="M26" s="199" t="str">
        <f t="shared" si="2"/>
        <v>no</v>
      </c>
      <c r="N26" s="199" t="str">
        <f t="shared" si="2"/>
        <v>no</v>
      </c>
      <c r="O26" s="199" t="str">
        <f t="shared" si="2"/>
        <v>no</v>
      </c>
      <c r="P26" s="199" t="str">
        <f t="shared" si="2"/>
        <v>no</v>
      </c>
      <c r="Q26" s="199" t="str">
        <f t="shared" si="2"/>
        <v>no</v>
      </c>
      <c r="R26" s="199" t="str">
        <f t="shared" si="2"/>
        <v>no</v>
      </c>
      <c r="S26" s="199" t="str">
        <f t="shared" si="2"/>
        <v>no</v>
      </c>
      <c r="T26" s="199" t="str">
        <f t="shared" si="2"/>
        <v>no</v>
      </c>
      <c r="U26" s="214"/>
    </row>
    <row r="27" spans="2:21" s="219" customFormat="1" ht="14.25" customHeight="1" thickBot="1" x14ac:dyDescent="0.3">
      <c r="B27" s="200"/>
      <c r="C27" s="201"/>
      <c r="D27" s="201"/>
      <c r="E27" s="202"/>
      <c r="F27" s="201"/>
      <c r="G27" s="203"/>
      <c r="H27" s="203"/>
      <c r="I27" s="203"/>
      <c r="J27" s="203"/>
      <c r="K27" s="201"/>
      <c r="L27" s="201"/>
      <c r="M27" s="201"/>
      <c r="N27" s="201"/>
      <c r="O27" s="201"/>
      <c r="P27" s="201"/>
      <c r="Q27" s="201"/>
      <c r="R27" s="201"/>
      <c r="S27" s="201"/>
      <c r="T27" s="201"/>
      <c r="U27" s="216"/>
    </row>
    <row r="28" spans="2:21" s="219" customFormat="1" ht="16.5" customHeight="1" thickBot="1" x14ac:dyDescent="0.3">
      <c r="B28" s="328" t="s">
        <v>125</v>
      </c>
      <c r="C28" s="324"/>
      <c r="D28" s="324"/>
      <c r="E28" s="325"/>
      <c r="F28" s="324"/>
      <c r="G28" s="326"/>
      <c r="H28" s="326"/>
      <c r="I28" s="326"/>
      <c r="J28" s="326"/>
      <c r="K28" s="324"/>
      <c r="L28" s="324"/>
      <c r="M28" s="324"/>
      <c r="N28" s="324"/>
      <c r="O28" s="324"/>
      <c r="P28" s="324"/>
      <c r="Q28" s="324"/>
      <c r="R28" s="324"/>
      <c r="S28" s="324"/>
      <c r="T28" s="324"/>
      <c r="U28" s="327"/>
    </row>
    <row r="29" spans="2:21" s="219" customFormat="1" ht="12.75" customHeight="1" x14ac:dyDescent="0.3">
      <c r="B29" s="204"/>
      <c r="C29" s="205"/>
      <c r="D29" s="206" t="s">
        <v>127</v>
      </c>
      <c r="E29" s="205"/>
      <c r="F29" s="205"/>
      <c r="G29" s="205"/>
      <c r="H29" s="205"/>
      <c r="I29" s="205"/>
      <c r="J29" s="205"/>
      <c r="K29" s="205"/>
      <c r="L29" s="205"/>
      <c r="M29" s="205"/>
      <c r="N29" s="205"/>
      <c r="O29" s="205"/>
      <c r="P29" s="205"/>
      <c r="Q29" s="205"/>
      <c r="R29" s="205"/>
      <c r="S29" s="205"/>
      <c r="T29" s="205"/>
      <c r="U29" s="217"/>
    </row>
    <row r="30" spans="2:21" s="219" customFormat="1" ht="12.75" customHeight="1" x14ac:dyDescent="0.3">
      <c r="B30" s="204"/>
      <c r="C30" s="205"/>
      <c r="D30" s="206"/>
      <c r="E30" s="205"/>
      <c r="F30" s="205"/>
      <c r="G30" s="205"/>
      <c r="H30" s="205"/>
      <c r="I30" s="205"/>
      <c r="J30" s="205"/>
      <c r="K30" s="205"/>
      <c r="L30" s="205"/>
      <c r="M30" s="205"/>
      <c r="N30" s="205"/>
      <c r="O30" s="205"/>
      <c r="P30" s="205"/>
      <c r="Q30" s="205"/>
      <c r="R30" s="205"/>
      <c r="S30" s="205"/>
      <c r="T30" s="205"/>
      <c r="U30" s="217"/>
    </row>
    <row r="31" spans="2:21" s="219" customFormat="1" ht="14.25" customHeight="1" x14ac:dyDescent="0.3">
      <c r="B31" s="194"/>
      <c r="C31" s="195"/>
      <c r="D31" s="195"/>
      <c r="E31" s="195"/>
      <c r="F31" s="195"/>
      <c r="G31" s="195"/>
      <c r="H31" s="195"/>
      <c r="I31" s="207" t="s">
        <v>126</v>
      </c>
      <c r="J31" s="195"/>
      <c r="K31" s="208">
        <f>IF(K25="yes",Example!E79,"")</f>
        <v>4.603952523332218</v>
      </c>
      <c r="L31" s="208" t="str">
        <f>IF(L25="yes",'Tank#1'!E79,"")</f>
        <v/>
      </c>
      <c r="M31" s="208" t="str">
        <f>IF(M25="yes",'Tank#2'!E79,"")</f>
        <v/>
      </c>
      <c r="N31" s="208" t="str">
        <f>IF(N25="yes",'Tank#3'!E79,"")</f>
        <v/>
      </c>
      <c r="O31" s="208" t="str">
        <f>IF(O25="yes",'Tank#4'!E79,"")</f>
        <v/>
      </c>
      <c r="P31" s="208" t="str">
        <f>IF(P25="yes",'Tank#5'!E79,"")</f>
        <v/>
      </c>
      <c r="Q31" s="208" t="str">
        <f>IF(Q25="yes",'Tank#6'!E79,"")</f>
        <v/>
      </c>
      <c r="R31" s="208" t="str">
        <f>IF(R25="yes",'Tank#7'!E79,"")</f>
        <v/>
      </c>
      <c r="S31" s="85" t="str">
        <f>IF(S25="yes",'Tank#8'!E79,"")</f>
        <v/>
      </c>
      <c r="T31" s="85" t="str">
        <f>IF(T25="yes",'Tank#9'!E79,"")</f>
        <v/>
      </c>
      <c r="U31" s="214"/>
    </row>
    <row r="32" spans="2:21" s="219" customFormat="1" ht="14.25" customHeight="1" x14ac:dyDescent="0.3">
      <c r="B32" s="194"/>
      <c r="C32" s="195"/>
      <c r="D32" s="195"/>
      <c r="E32" s="195"/>
      <c r="F32" s="195"/>
      <c r="G32" s="195"/>
      <c r="H32" s="195"/>
      <c r="I32" s="197" t="s">
        <v>35</v>
      </c>
      <c r="J32" s="195"/>
      <c r="K32" s="209">
        <f>IF(K26="yes",Example!J75,"")</f>
        <v>0.37135748109988903</v>
      </c>
      <c r="L32" s="209" t="str">
        <f>IF(L26="yes",'Tank#1'!J75,"")</f>
        <v/>
      </c>
      <c r="M32" s="209" t="str">
        <f>IF(M26="yes",'Tank#2'!J75,"")</f>
        <v/>
      </c>
      <c r="N32" s="209" t="str">
        <f>IF(N26="yes",'Tank#3'!J75,"")</f>
        <v/>
      </c>
      <c r="O32" s="209" t="str">
        <f>IF(O26="yes",'Tank#4'!J75,"")</f>
        <v/>
      </c>
      <c r="P32" s="209" t="str">
        <f>IF(P26="yes",'Tank#5'!J75,"")</f>
        <v/>
      </c>
      <c r="Q32" s="209" t="str">
        <f>IF(Q26="yes",'Tank#6'!J75,"")</f>
        <v/>
      </c>
      <c r="R32" s="209" t="str">
        <f>IF(R26="yes",'Tank#7'!J75,"")</f>
        <v/>
      </c>
      <c r="S32" s="84" t="str">
        <f>IF(S26="yes",'Tank#8'!J75,"")</f>
        <v/>
      </c>
      <c r="T32" s="84" t="str">
        <f>IF(T26="yes",'Tank#9'!J75,"")</f>
        <v/>
      </c>
      <c r="U32" s="214"/>
    </row>
    <row r="33" spans="2:21" ht="13" thickBot="1" x14ac:dyDescent="0.3">
      <c r="B33" s="210"/>
      <c r="C33" s="211"/>
      <c r="D33" s="211"/>
      <c r="E33" s="211"/>
      <c r="F33" s="211"/>
      <c r="G33" s="211"/>
      <c r="H33" s="211"/>
      <c r="I33" s="211"/>
      <c r="J33" s="211"/>
      <c r="K33" s="211"/>
      <c r="L33" s="211"/>
      <c r="M33" s="211"/>
      <c r="N33" s="211"/>
      <c r="O33" s="211"/>
      <c r="P33" s="211"/>
      <c r="Q33" s="211"/>
      <c r="R33" s="211"/>
      <c r="S33" s="211"/>
      <c r="T33" s="211"/>
      <c r="U33" s="218"/>
    </row>
    <row r="34" spans="2:21" ht="13" x14ac:dyDescent="0.3">
      <c r="B34" s="191" t="s">
        <v>50</v>
      </c>
      <c r="C34" s="184"/>
      <c r="D34" s="184"/>
      <c r="E34" s="184"/>
      <c r="F34" s="184"/>
      <c r="G34" s="184"/>
      <c r="H34" s="184"/>
      <c r="I34" s="184"/>
      <c r="J34" s="184"/>
      <c r="K34" s="184"/>
      <c r="L34" s="184"/>
      <c r="M34" s="184"/>
      <c r="N34" s="184"/>
      <c r="O34" s="184"/>
      <c r="P34" s="184"/>
      <c r="Q34" s="184"/>
      <c r="R34" s="184"/>
      <c r="S34" s="184"/>
      <c r="T34" s="184"/>
      <c r="U34" s="185"/>
    </row>
    <row r="35" spans="2:21" ht="13" x14ac:dyDescent="0.3">
      <c r="B35" s="212" t="s">
        <v>167</v>
      </c>
      <c r="C35" s="173"/>
      <c r="D35" s="173"/>
      <c r="E35" s="173"/>
      <c r="F35" s="173"/>
      <c r="G35" s="173"/>
      <c r="H35" s="173"/>
      <c r="I35" s="173"/>
      <c r="J35" s="173"/>
      <c r="K35" s="173"/>
      <c r="L35" s="173"/>
      <c r="M35" s="173"/>
      <c r="N35" s="173"/>
      <c r="O35" s="173"/>
      <c r="P35" s="173"/>
      <c r="Q35" s="173"/>
      <c r="R35" s="173"/>
      <c r="S35" s="173"/>
      <c r="T35" s="173"/>
      <c r="U35" s="187"/>
    </row>
    <row r="36" spans="2:21" x14ac:dyDescent="0.25">
      <c r="B36" s="246" t="s">
        <v>223</v>
      </c>
      <c r="C36" s="173"/>
      <c r="D36" s="173"/>
      <c r="E36" s="173"/>
      <c r="F36" s="173"/>
      <c r="G36" s="173"/>
      <c r="H36" s="173"/>
      <c r="I36" s="173"/>
      <c r="J36" s="173"/>
      <c r="K36" s="173"/>
      <c r="L36" s="173"/>
      <c r="M36" s="173"/>
      <c r="N36" s="173"/>
      <c r="O36" s="173"/>
      <c r="P36" s="173"/>
      <c r="Q36" s="173"/>
      <c r="R36" s="173"/>
      <c r="S36" s="173"/>
      <c r="T36" s="173"/>
      <c r="U36" s="187"/>
    </row>
    <row r="37" spans="2:21" ht="13" thickBot="1" x14ac:dyDescent="0.3">
      <c r="B37" s="392" t="s">
        <v>224</v>
      </c>
      <c r="C37" s="389"/>
      <c r="D37" s="389"/>
      <c r="E37" s="389"/>
      <c r="F37" s="389"/>
      <c r="G37" s="389"/>
      <c r="H37" s="389"/>
      <c r="I37" s="389"/>
      <c r="J37" s="389"/>
      <c r="K37" s="389"/>
      <c r="L37" s="389"/>
      <c r="M37" s="389"/>
      <c r="N37" s="389"/>
      <c r="O37" s="389"/>
      <c r="P37" s="389"/>
      <c r="Q37" s="389"/>
      <c r="R37" s="389"/>
      <c r="S37" s="332"/>
      <c r="T37" s="332"/>
      <c r="U37" s="333"/>
    </row>
    <row r="38" spans="2:21" ht="26.25" customHeight="1" x14ac:dyDescent="0.25">
      <c r="B38" s="390"/>
      <c r="C38" s="390"/>
      <c r="D38" s="390"/>
      <c r="E38" s="390"/>
      <c r="F38" s="390"/>
      <c r="G38" s="390"/>
      <c r="H38" s="390"/>
      <c r="I38" s="390"/>
      <c r="J38" s="390"/>
      <c r="K38" s="390"/>
      <c r="L38" s="390"/>
      <c r="M38" s="390"/>
      <c r="N38" s="390"/>
      <c r="O38" s="390"/>
      <c r="P38" s="390"/>
      <c r="Q38" s="390"/>
      <c r="R38" s="390"/>
      <c r="S38" s="362"/>
      <c r="T38" s="362"/>
      <c r="U38" s="391"/>
    </row>
    <row r="39" spans="2:21" ht="13.5" customHeight="1" x14ac:dyDescent="0.25"/>
    <row r="40" spans="2:21" ht="26.25" customHeight="1" x14ac:dyDescent="0.25"/>
  </sheetData>
  <phoneticPr fontId="0" type="noConversion"/>
  <conditionalFormatting sqref="K31:T31">
    <cfRule type="cellIs" dxfId="83" priority="3" stopIfTrue="1" operator="greaterThan">
      <formula>5</formula>
    </cfRule>
    <cfRule type="cellIs" dxfId="82" priority="4" stopIfTrue="1" operator="lessThanOrEqual">
      <formula>5</formula>
    </cfRule>
  </conditionalFormatting>
  <conditionalFormatting sqref="K32:T32">
    <cfRule type="cellIs" dxfId="81" priority="1" stopIfTrue="1" operator="lessThan">
      <formula>1</formula>
    </cfRule>
    <cfRule type="cellIs" dxfId="80" priority="2" stopIfTrue="1" operator="greaterThanOrEqual">
      <formula>1</formula>
    </cfRule>
  </conditionalFormatting>
  <pageMargins left="0.75" right="0.75" top="1" bottom="1" header="0.5" footer="0.5"/>
  <pageSetup scale="75" fitToHeight="2" orientation="landscape" r:id="rId1"/>
  <headerFooter alignWithMargins="0"/>
  <rowBreaks count="1" manualBreakCount="1">
    <brk id="27" max="16383" man="1"/>
  </rowBreaks>
  <ignoredErrors>
    <ignoredError sqref="L22:T22" evalError="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43"/>
  <sheetViews>
    <sheetView showGridLines="0" topLeftCell="A34" zoomScale="80" zoomScaleNormal="80" workbookViewId="0">
      <selection activeCell="I77" sqref="I77:L80"/>
    </sheetView>
  </sheetViews>
  <sheetFormatPr defaultColWidth="9.1796875" defaultRowHeight="12.5" x14ac:dyDescent="0.25"/>
  <cols>
    <col min="1" max="2" width="1.54296875" style="1" customWidth="1"/>
    <col min="3" max="3" width="26" style="1" customWidth="1"/>
    <col min="4" max="4" width="17.81640625" style="1" customWidth="1"/>
    <col min="5" max="6" width="20.81640625" style="1" customWidth="1"/>
    <col min="7" max="7" width="17.81640625" style="1" customWidth="1"/>
    <col min="8" max="9" width="23.81640625" style="1" customWidth="1"/>
    <col min="10" max="10" width="16.453125" style="1" customWidth="1"/>
    <col min="11" max="11" width="12.81640625" style="1" customWidth="1"/>
    <col min="12" max="12" width="16.1796875" style="1" customWidth="1"/>
    <col min="13" max="13" width="9.1796875" style="1"/>
    <col min="14" max="14" width="9.81640625" style="1" customWidth="1"/>
    <col min="15" max="17" width="9.1796875" style="1"/>
    <col min="18" max="18" width="9.1796875" style="485" customWidth="1"/>
    <col min="19" max="16384" width="9.1796875" style="1"/>
  </cols>
  <sheetData>
    <row r="1" spans="2:20" ht="13" thickBot="1" x14ac:dyDescent="0.3"/>
    <row r="2" spans="2:20" ht="20.25" customHeight="1" thickBot="1" x14ac:dyDescent="0.3">
      <c r="B2" s="425" t="s">
        <v>131</v>
      </c>
      <c r="C2" s="426"/>
      <c r="D2" s="426"/>
      <c r="E2" s="426"/>
      <c r="F2" s="426"/>
      <c r="G2" s="426"/>
      <c r="H2" s="426"/>
      <c r="I2" s="426"/>
      <c r="J2" s="426"/>
      <c r="K2" s="426"/>
      <c r="L2" s="426"/>
      <c r="M2" s="426"/>
      <c r="N2" s="426"/>
      <c r="O2" s="427"/>
    </row>
    <row r="3" spans="2:20" ht="18.5" thickBot="1" x14ac:dyDescent="0.45">
      <c r="B3" s="116" t="s">
        <v>187</v>
      </c>
      <c r="C3" s="117"/>
      <c r="D3" s="118"/>
      <c r="E3" s="117"/>
      <c r="F3" s="118"/>
      <c r="G3" s="118"/>
      <c r="H3" s="118"/>
      <c r="I3" s="118"/>
      <c r="J3" s="118"/>
      <c r="K3" s="118"/>
      <c r="L3" s="118"/>
      <c r="M3" s="118"/>
      <c r="N3" s="118"/>
      <c r="O3" s="119"/>
    </row>
    <row r="4" spans="2:20" ht="16" customHeight="1" x14ac:dyDescent="0.3">
      <c r="B4" s="149"/>
      <c r="C4" s="329"/>
      <c r="D4" s="90"/>
      <c r="E4" s="90"/>
      <c r="F4" s="90"/>
      <c r="G4" s="90"/>
      <c r="H4" s="90"/>
      <c r="I4" s="90"/>
      <c r="J4" s="90"/>
      <c r="K4" s="90"/>
      <c r="L4" s="90"/>
      <c r="M4" s="90"/>
      <c r="N4" s="90"/>
      <c r="O4" s="91"/>
    </row>
    <row r="5" spans="2:20" ht="16" customHeight="1" x14ac:dyDescent="0.3">
      <c r="B5" s="92"/>
      <c r="C5" s="152" t="s">
        <v>7</v>
      </c>
      <c r="D5" s="153" t="str">
        <f>'Tank Summary'!K12</f>
        <v>Example</v>
      </c>
      <c r="E5" s="93"/>
      <c r="F5" s="93"/>
      <c r="G5" s="8"/>
      <c r="H5" s="8"/>
      <c r="I5" s="8"/>
      <c r="J5" s="8"/>
      <c r="K5" s="8"/>
      <c r="L5" s="8"/>
      <c r="M5" s="8"/>
      <c r="N5" s="8"/>
      <c r="O5" s="94"/>
    </row>
    <row r="6" spans="2:20" ht="16" customHeight="1" x14ac:dyDescent="0.3">
      <c r="B6" s="92"/>
      <c r="C6" s="147" t="s">
        <v>96</v>
      </c>
      <c r="D6" s="154">
        <f>'Tank Summary'!K13</f>
        <v>0.3</v>
      </c>
      <c r="E6" s="93"/>
      <c r="F6" s="93"/>
      <c r="G6" s="8"/>
      <c r="H6" s="8"/>
      <c r="I6" s="8"/>
      <c r="J6" s="8"/>
      <c r="K6" s="8"/>
      <c r="L6" s="8"/>
      <c r="M6" s="8"/>
      <c r="N6" s="8"/>
      <c r="O6" s="94"/>
    </row>
    <row r="7" spans="2:20" ht="40.5" customHeight="1" x14ac:dyDescent="0.3">
      <c r="B7" s="92"/>
      <c r="C7" s="155" t="s">
        <v>64</v>
      </c>
      <c r="D7" s="88" t="str">
        <f>'Tank Summary'!K14</f>
        <v>r</v>
      </c>
      <c r="E7" s="150"/>
      <c r="F7" s="93"/>
      <c r="G7" s="151"/>
      <c r="H7" s="8"/>
      <c r="I7" s="8"/>
      <c r="J7" s="8"/>
      <c r="K7" s="8"/>
      <c r="L7" s="8"/>
      <c r="M7" s="8"/>
      <c r="N7" s="8"/>
      <c r="O7" s="94"/>
    </row>
    <row r="8" spans="2:20" ht="39.75" customHeight="1" x14ac:dyDescent="0.3">
      <c r="B8" s="92"/>
      <c r="C8" s="155" t="s">
        <v>66</v>
      </c>
      <c r="D8" s="156" t="str">
        <f>'Tank Summary'!K15</f>
        <v>n</v>
      </c>
      <c r="E8" s="150"/>
      <c r="F8" s="93"/>
      <c r="G8" s="151"/>
      <c r="H8" s="8"/>
      <c r="I8" s="8"/>
      <c r="J8" s="8"/>
      <c r="K8" s="8"/>
      <c r="L8" s="8"/>
      <c r="M8" s="8"/>
      <c r="N8" s="8"/>
      <c r="O8" s="94"/>
    </row>
    <row r="9" spans="2:20" ht="18" customHeight="1" x14ac:dyDescent="0.3">
      <c r="B9" s="92"/>
      <c r="C9" s="147" t="s">
        <v>304</v>
      </c>
      <c r="D9" s="157">
        <f>'Tank Summary'!K20</f>
        <v>24</v>
      </c>
      <c r="E9" s="93" t="str">
        <f>IF(OR(D7="c", D7="r",D7="h"),"ft","")</f>
        <v>ft</v>
      </c>
      <c r="F9" s="96"/>
      <c r="G9" s="8"/>
      <c r="H9" s="8"/>
      <c r="I9" s="8"/>
      <c r="J9" s="8"/>
      <c r="K9" s="8"/>
      <c r="L9" s="8"/>
      <c r="M9" s="8"/>
      <c r="N9" s="8"/>
      <c r="O9" s="94"/>
    </row>
    <row r="10" spans="2:20" ht="18" customHeight="1" x14ac:dyDescent="0.3">
      <c r="B10" s="92"/>
      <c r="C10" s="158" t="str">
        <f>IF(OR(D7="c", D7="h"), "Tank diameter, D:", IF(D7="r","Longest Sidewall Length, D:","Maximum diameter, D:"))</f>
        <v>Longest Sidewall Length, D:</v>
      </c>
      <c r="D10" s="157">
        <f>'Tank Summary'!$K$17</f>
        <v>50</v>
      </c>
      <c r="E10" s="93" t="str">
        <f>IF(OR(D7="c", D7="r",D7="h"),"ft","")</f>
        <v>ft</v>
      </c>
      <c r="F10" s="93"/>
      <c r="G10" s="151"/>
      <c r="H10" s="8"/>
      <c r="I10" s="8"/>
      <c r="J10" s="8"/>
      <c r="K10" s="8"/>
      <c r="L10" s="8"/>
      <c r="M10" s="8"/>
      <c r="N10" s="8"/>
      <c r="O10" s="94"/>
    </row>
    <row r="11" spans="2:20" ht="18" customHeight="1" x14ac:dyDescent="0.3">
      <c r="B11" s="92"/>
      <c r="C11" s="158" t="str">
        <f>IF(OR(D7="c", D7="h"),"",IF(D7="r","Shortest Sidewall Length, L:",""))</f>
        <v>Shortest Sidewall Length, L:</v>
      </c>
      <c r="D11" s="157">
        <f>'Tank Summary'!K18</f>
        <v>30</v>
      </c>
      <c r="E11" s="501" t="str">
        <f>IF(OR(D7="c", D7="h"),"",IF(D7="r","ft",IF(D8="y","","Spreadsheet is not set up for shapes other than cylindrical, hydropillar, &amp; rectangular unless SCADA reports tank volume!")))</f>
        <v>ft</v>
      </c>
      <c r="F11" s="502"/>
      <c r="G11" s="151"/>
      <c r="H11" s="8"/>
      <c r="I11" s="8"/>
      <c r="J11" s="8"/>
      <c r="K11" s="8"/>
      <c r="L11" s="8"/>
      <c r="M11" s="8"/>
      <c r="N11" s="8"/>
      <c r="O11" s="94"/>
    </row>
    <row r="12" spans="2:20" ht="18" customHeight="1" x14ac:dyDescent="0.3">
      <c r="B12" s="92"/>
      <c r="C12" s="152" t="str">
        <f>IF(D8="y", "Volume Cutoff Ratio:", "H/D Ratio:")</f>
        <v>H/D Ratio:</v>
      </c>
      <c r="D12" s="88">
        <f>IF(D8="y", (PI()/4)*D10^3, 'Tank Summary'!K22)</f>
        <v>0.48</v>
      </c>
      <c r="E12" s="501"/>
      <c r="F12" s="502"/>
      <c r="G12" s="151"/>
      <c r="H12" s="8"/>
      <c r="I12" s="8"/>
      <c r="J12" s="8"/>
      <c r="K12" s="8"/>
      <c r="L12" s="8"/>
      <c r="M12" s="8"/>
      <c r="N12" s="8"/>
      <c r="O12" s="94"/>
    </row>
    <row r="13" spans="2:20" ht="18" customHeight="1" x14ac:dyDescent="0.3">
      <c r="B13" s="92"/>
      <c r="C13" s="152" t="s">
        <v>10</v>
      </c>
      <c r="D13" s="88">
        <f>'Tank Summary'!K19</f>
        <v>1</v>
      </c>
      <c r="E13" s="93" t="s">
        <v>1</v>
      </c>
      <c r="F13" s="93"/>
      <c r="G13" s="8"/>
      <c r="H13" s="8"/>
      <c r="I13" s="8"/>
      <c r="J13" s="8"/>
      <c r="K13" s="8"/>
      <c r="L13" s="8"/>
      <c r="M13" s="8"/>
      <c r="N13" s="8"/>
      <c r="O13" s="94"/>
    </row>
    <row r="14" spans="2:20" ht="16" customHeight="1" x14ac:dyDescent="0.25">
      <c r="B14" s="92"/>
      <c r="C14" s="29"/>
      <c r="D14" s="29"/>
      <c r="E14" s="29"/>
      <c r="F14" s="29"/>
      <c r="G14" s="29"/>
      <c r="H14" s="29"/>
      <c r="I14" s="29"/>
      <c r="J14" s="8"/>
      <c r="K14" s="8"/>
      <c r="L14" s="8"/>
      <c r="M14" s="8"/>
      <c r="N14" s="8"/>
      <c r="O14" s="94"/>
      <c r="Q14" s="481"/>
      <c r="R14" s="481"/>
      <c r="S14" s="481"/>
      <c r="T14" s="481"/>
    </row>
    <row r="15" spans="2:20" ht="16" customHeight="1" x14ac:dyDescent="0.3">
      <c r="B15" s="92"/>
      <c r="C15" s="95" t="s">
        <v>206</v>
      </c>
      <c r="D15" s="53"/>
      <c r="E15" s="53"/>
      <c r="F15" s="53"/>
      <c r="G15" s="96"/>
      <c r="H15" s="338"/>
      <c r="I15" s="53"/>
      <c r="J15" s="8"/>
      <c r="K15" s="8"/>
      <c r="L15" s="97"/>
      <c r="M15" s="8"/>
      <c r="N15" s="8"/>
      <c r="O15" s="94"/>
      <c r="Q15" s="481"/>
      <c r="R15" s="481"/>
      <c r="S15" s="481"/>
      <c r="T15" s="481"/>
    </row>
    <row r="16" spans="2:20" ht="13" x14ac:dyDescent="0.3">
      <c r="B16" s="92"/>
      <c r="C16" s="13" t="s">
        <v>19</v>
      </c>
      <c r="D16" s="13" t="s">
        <v>20</v>
      </c>
      <c r="E16" s="13" t="str">
        <f>IF(D8="y","Vol at Start of Fill","Min Level")</f>
        <v>Min Level</v>
      </c>
      <c r="F16" s="13" t="str">
        <f>IF(D8="y","Vol at End of Fill","Max Level")</f>
        <v>Max Level</v>
      </c>
      <c r="G16" s="13" t="s">
        <v>21</v>
      </c>
      <c r="H16" s="13" t="s">
        <v>22</v>
      </c>
      <c r="I16" s="8"/>
      <c r="K16" s="8"/>
      <c r="L16" s="8"/>
      <c r="M16" s="8"/>
      <c r="N16" s="8"/>
      <c r="O16" s="94"/>
      <c r="Q16" s="481"/>
      <c r="R16" s="482" t="s">
        <v>285</v>
      </c>
      <c r="S16" s="481"/>
      <c r="T16" s="481"/>
    </row>
    <row r="17" spans="2:20" ht="13" x14ac:dyDescent="0.3">
      <c r="B17" s="92"/>
      <c r="C17" s="14"/>
      <c r="D17" s="14"/>
      <c r="E17" s="14" t="str">
        <f>IF(D8="y","Gal","Ft")</f>
        <v>Ft</v>
      </c>
      <c r="F17" s="14" t="str">
        <f>IF(D8="y","Gal","Ft")</f>
        <v>Ft</v>
      </c>
      <c r="G17" s="14"/>
      <c r="H17" s="14" t="s">
        <v>23</v>
      </c>
      <c r="I17" s="8"/>
      <c r="K17" s="8"/>
      <c r="L17" s="8"/>
      <c r="M17" s="8"/>
      <c r="N17" s="8"/>
      <c r="O17" s="94"/>
      <c r="Q17" s="481"/>
      <c r="R17" s="482" t="str">
        <f>IF(D8="y","Gal","Ft")</f>
        <v>Ft</v>
      </c>
      <c r="S17" s="481"/>
      <c r="T17" s="481"/>
    </row>
    <row r="18" spans="2:20" ht="13" x14ac:dyDescent="0.3">
      <c r="B18" s="92"/>
      <c r="C18" s="339">
        <v>41123</v>
      </c>
      <c r="D18" s="340">
        <v>0.79652777777777783</v>
      </c>
      <c r="E18" s="341"/>
      <c r="F18" s="341">
        <v>19</v>
      </c>
      <c r="G18" s="89">
        <f t="shared" ref="G18:G47" si="0">C18+D18</f>
        <v>41123.796527777777</v>
      </c>
      <c r="H18" s="12">
        <v>0</v>
      </c>
      <c r="I18" s="8">
        <v>1</v>
      </c>
      <c r="K18" s="8"/>
      <c r="L18" s="8"/>
      <c r="M18" s="8"/>
      <c r="N18" s="8"/>
      <c r="O18" s="94"/>
      <c r="Q18" s="481"/>
      <c r="R18" s="483">
        <f t="shared" ref="R18:R47" si="1">IF(G18,E18+F18,"")</f>
        <v>19</v>
      </c>
      <c r="S18" s="481"/>
      <c r="T18" s="481"/>
    </row>
    <row r="19" spans="2:20" ht="13" x14ac:dyDescent="0.3">
      <c r="B19" s="92"/>
      <c r="C19" s="339">
        <v>41124</v>
      </c>
      <c r="D19" s="340">
        <v>6.2499999999999995E-3</v>
      </c>
      <c r="E19" s="341">
        <v>16.899999999999999</v>
      </c>
      <c r="F19" s="341"/>
      <c r="G19" s="89">
        <f t="shared" si="0"/>
        <v>41124.006249999999</v>
      </c>
      <c r="H19" s="12">
        <f t="shared" ref="H19:H47" si="2">IF(G19,G19-$G$18,"")</f>
        <v>0.20972222222189885</v>
      </c>
      <c r="I19" s="8"/>
      <c r="K19" s="8"/>
      <c r="L19" s="8"/>
      <c r="M19" s="8"/>
      <c r="N19" s="8"/>
      <c r="O19" s="94"/>
      <c r="Q19" s="481"/>
      <c r="R19" s="483">
        <f t="shared" si="1"/>
        <v>16.899999999999999</v>
      </c>
      <c r="S19" s="481"/>
      <c r="T19" s="481"/>
    </row>
    <row r="20" spans="2:20" ht="13" x14ac:dyDescent="0.3">
      <c r="B20" s="92"/>
      <c r="C20" s="347">
        <v>41124</v>
      </c>
      <c r="D20" s="348">
        <v>0.21527777777777779</v>
      </c>
      <c r="E20" s="349"/>
      <c r="F20" s="349">
        <v>18.399999999999999</v>
      </c>
      <c r="G20" s="350">
        <f t="shared" si="0"/>
        <v>41124.215277777781</v>
      </c>
      <c r="H20" s="351">
        <f t="shared" si="2"/>
        <v>0.41875000000436557</v>
      </c>
      <c r="I20" s="8">
        <v>2</v>
      </c>
      <c r="K20" s="8"/>
      <c r="L20" s="8"/>
      <c r="M20" s="8"/>
      <c r="N20" s="8"/>
      <c r="O20" s="94"/>
      <c r="Q20" s="481"/>
      <c r="R20" s="483">
        <f t="shared" si="1"/>
        <v>18.399999999999999</v>
      </c>
      <c r="S20" s="481"/>
      <c r="T20" s="481"/>
    </row>
    <row r="21" spans="2:20" ht="13" x14ac:dyDescent="0.3">
      <c r="B21" s="92"/>
      <c r="C21" s="347">
        <v>41124</v>
      </c>
      <c r="D21" s="348">
        <v>0.46597222222222223</v>
      </c>
      <c r="E21" s="349">
        <v>16.600000000000001</v>
      </c>
      <c r="F21" s="349"/>
      <c r="G21" s="350">
        <f t="shared" si="0"/>
        <v>41124.46597222222</v>
      </c>
      <c r="H21" s="351">
        <f t="shared" si="2"/>
        <v>0.66944444444379769</v>
      </c>
      <c r="I21" s="8"/>
      <c r="K21" s="8"/>
      <c r="L21" s="8"/>
      <c r="M21" s="8"/>
      <c r="N21" s="8"/>
      <c r="O21" s="94"/>
      <c r="Q21" s="481"/>
      <c r="R21" s="483">
        <f t="shared" si="1"/>
        <v>16.600000000000001</v>
      </c>
      <c r="S21" s="481"/>
      <c r="T21" s="481"/>
    </row>
    <row r="22" spans="2:20" ht="13" x14ac:dyDescent="0.3">
      <c r="B22" s="92"/>
      <c r="C22" s="339">
        <v>41124</v>
      </c>
      <c r="D22" s="340">
        <v>0.75902777777777775</v>
      </c>
      <c r="E22" s="341"/>
      <c r="F22" s="341">
        <v>18.899999999999999</v>
      </c>
      <c r="G22" s="89">
        <f t="shared" si="0"/>
        <v>41124.759027777778</v>
      </c>
      <c r="H22" s="12">
        <f t="shared" si="2"/>
        <v>0.96250000000145519</v>
      </c>
      <c r="I22" s="8">
        <v>3</v>
      </c>
      <c r="K22" s="8"/>
      <c r="L22" s="8"/>
      <c r="M22" s="8"/>
      <c r="N22" s="8"/>
      <c r="O22" s="94"/>
      <c r="Q22" s="481"/>
      <c r="R22" s="483">
        <f t="shared" si="1"/>
        <v>18.899999999999999</v>
      </c>
      <c r="S22" s="481"/>
      <c r="T22" s="481"/>
    </row>
    <row r="23" spans="2:20" ht="13" x14ac:dyDescent="0.3">
      <c r="B23" s="92"/>
      <c r="C23" s="339">
        <v>41124</v>
      </c>
      <c r="D23" s="340">
        <v>0.96805555555555556</v>
      </c>
      <c r="E23" s="341">
        <v>16.899999999999999</v>
      </c>
      <c r="F23" s="341"/>
      <c r="G23" s="89">
        <f t="shared" si="0"/>
        <v>41124.968055555553</v>
      </c>
      <c r="H23" s="12">
        <f t="shared" si="2"/>
        <v>1.171527777776646</v>
      </c>
      <c r="I23" s="8"/>
      <c r="K23" s="8"/>
      <c r="L23" s="8"/>
      <c r="M23" s="8"/>
      <c r="N23" s="8"/>
      <c r="O23" s="94"/>
      <c r="Q23" s="481"/>
      <c r="R23" s="483">
        <f t="shared" si="1"/>
        <v>16.899999999999999</v>
      </c>
      <c r="S23" s="481"/>
      <c r="T23" s="481"/>
    </row>
    <row r="24" spans="2:20" ht="13" x14ac:dyDescent="0.3">
      <c r="B24" s="92"/>
      <c r="C24" s="347">
        <v>41125</v>
      </c>
      <c r="D24" s="348">
        <v>0.21944444444444444</v>
      </c>
      <c r="E24" s="349"/>
      <c r="F24" s="349">
        <v>18.7</v>
      </c>
      <c r="G24" s="350">
        <f t="shared" si="0"/>
        <v>41125.219444444447</v>
      </c>
      <c r="H24" s="351">
        <f t="shared" si="2"/>
        <v>1.4229166666700621</v>
      </c>
      <c r="I24" s="8">
        <v>4</v>
      </c>
      <c r="K24" s="8"/>
      <c r="L24" s="8"/>
      <c r="M24" s="8"/>
      <c r="N24" s="8"/>
      <c r="O24" s="94"/>
      <c r="Q24" s="481"/>
      <c r="R24" s="483">
        <f t="shared" si="1"/>
        <v>18.7</v>
      </c>
      <c r="S24" s="481"/>
      <c r="T24" s="481"/>
    </row>
    <row r="25" spans="2:20" ht="13" x14ac:dyDescent="0.3">
      <c r="B25" s="92"/>
      <c r="C25" s="347">
        <v>41125</v>
      </c>
      <c r="D25" s="348">
        <v>0.4284722222222222</v>
      </c>
      <c r="E25" s="349">
        <v>16.899999999999999</v>
      </c>
      <c r="F25" s="349"/>
      <c r="G25" s="350">
        <f t="shared" si="0"/>
        <v>41125.428472222222</v>
      </c>
      <c r="H25" s="351">
        <f t="shared" si="2"/>
        <v>1.6319444444452529</v>
      </c>
      <c r="I25" s="8"/>
      <c r="K25" s="8"/>
      <c r="L25" s="8"/>
      <c r="M25" s="8"/>
      <c r="N25" s="8"/>
      <c r="O25" s="94"/>
      <c r="Q25" s="481"/>
      <c r="R25" s="483">
        <f t="shared" si="1"/>
        <v>16.899999999999999</v>
      </c>
      <c r="S25" s="481"/>
      <c r="T25" s="481"/>
    </row>
    <row r="26" spans="2:20" ht="13" x14ac:dyDescent="0.3">
      <c r="B26" s="92"/>
      <c r="C26" s="342">
        <v>41125</v>
      </c>
      <c r="D26" s="340">
        <v>0.80486111111111114</v>
      </c>
      <c r="E26" s="341"/>
      <c r="F26" s="341">
        <v>19.5</v>
      </c>
      <c r="G26" s="89">
        <f t="shared" si="0"/>
        <v>41125.804861111108</v>
      </c>
      <c r="H26" s="12">
        <f t="shared" si="2"/>
        <v>2.0083333333313931</v>
      </c>
      <c r="I26" s="8">
        <v>5</v>
      </c>
      <c r="K26" s="8"/>
      <c r="L26" s="8"/>
      <c r="M26" s="8"/>
      <c r="N26" s="8"/>
      <c r="O26" s="94"/>
      <c r="Q26" s="481"/>
      <c r="R26" s="483">
        <f t="shared" si="1"/>
        <v>19.5</v>
      </c>
      <c r="S26" s="481"/>
      <c r="T26" s="481"/>
    </row>
    <row r="27" spans="2:20" ht="13" x14ac:dyDescent="0.3">
      <c r="B27" s="92"/>
      <c r="C27" s="342">
        <v>41126</v>
      </c>
      <c r="D27" s="340">
        <v>1.4583333333333332E-2</v>
      </c>
      <c r="E27" s="341">
        <v>17.399999999999999</v>
      </c>
      <c r="F27" s="341"/>
      <c r="G27" s="89">
        <f t="shared" si="0"/>
        <v>41126.01458333333</v>
      </c>
      <c r="H27" s="12">
        <f t="shared" si="2"/>
        <v>2.2180555555532919</v>
      </c>
      <c r="I27" s="8"/>
      <c r="K27" s="8"/>
      <c r="L27" s="8"/>
      <c r="M27" s="8"/>
      <c r="N27" s="8"/>
      <c r="O27" s="94"/>
      <c r="Q27" s="481"/>
      <c r="R27" s="483">
        <f t="shared" si="1"/>
        <v>17.399999999999999</v>
      </c>
      <c r="S27" s="481"/>
      <c r="T27" s="481"/>
    </row>
    <row r="28" spans="2:20" ht="13" x14ac:dyDescent="0.3">
      <c r="B28" s="92"/>
      <c r="C28" s="347">
        <v>41126</v>
      </c>
      <c r="D28" s="348">
        <v>0.26527777777777778</v>
      </c>
      <c r="E28" s="349"/>
      <c r="F28" s="349">
        <v>18.8</v>
      </c>
      <c r="G28" s="350">
        <f t="shared" si="0"/>
        <v>41126.265277777777</v>
      </c>
      <c r="H28" s="351">
        <f t="shared" si="2"/>
        <v>2.46875</v>
      </c>
      <c r="I28" s="8">
        <v>6</v>
      </c>
      <c r="K28" s="8"/>
      <c r="L28" s="8"/>
      <c r="M28" s="8"/>
      <c r="N28" s="8"/>
      <c r="O28" s="94"/>
      <c r="Q28" s="481"/>
      <c r="R28" s="483">
        <f t="shared" si="1"/>
        <v>18.8</v>
      </c>
      <c r="S28" s="481"/>
      <c r="T28" s="481"/>
    </row>
    <row r="29" spans="2:20" ht="13" x14ac:dyDescent="0.3">
      <c r="B29" s="92"/>
      <c r="C29" s="347">
        <v>41126</v>
      </c>
      <c r="D29" s="348">
        <v>0.47430555555555554</v>
      </c>
      <c r="E29" s="349">
        <v>17</v>
      </c>
      <c r="F29" s="349"/>
      <c r="G29" s="350">
        <f t="shared" si="0"/>
        <v>41126.474305555559</v>
      </c>
      <c r="H29" s="351">
        <f t="shared" si="2"/>
        <v>2.6777777777824667</v>
      </c>
      <c r="I29" s="8"/>
      <c r="K29" s="8"/>
      <c r="L29" s="8"/>
      <c r="M29" s="8"/>
      <c r="N29" s="8"/>
      <c r="O29" s="94"/>
      <c r="Q29" s="481"/>
      <c r="R29" s="483">
        <f t="shared" si="1"/>
        <v>17</v>
      </c>
      <c r="S29" s="481"/>
      <c r="T29" s="481"/>
    </row>
    <row r="30" spans="2:20" ht="13" x14ac:dyDescent="0.3">
      <c r="B30" s="92"/>
      <c r="C30" s="342">
        <v>41126</v>
      </c>
      <c r="D30" s="340">
        <v>0.85138888888888886</v>
      </c>
      <c r="E30" s="341"/>
      <c r="F30" s="343">
        <v>19.2</v>
      </c>
      <c r="G30" s="89">
        <f t="shared" si="0"/>
        <v>41126.851388888892</v>
      </c>
      <c r="H30" s="12">
        <f t="shared" si="2"/>
        <v>3.054861111115315</v>
      </c>
      <c r="I30" s="8">
        <v>7</v>
      </c>
      <c r="K30" s="8"/>
      <c r="L30" s="8"/>
      <c r="M30" s="8"/>
      <c r="N30" s="8"/>
      <c r="O30" s="94"/>
      <c r="Q30" s="481"/>
      <c r="R30" s="483">
        <f t="shared" si="1"/>
        <v>19.2</v>
      </c>
      <c r="S30" s="481"/>
      <c r="T30" s="481"/>
    </row>
    <row r="31" spans="2:20" ht="13" x14ac:dyDescent="0.3">
      <c r="B31" s="92"/>
      <c r="C31" s="342">
        <v>41127</v>
      </c>
      <c r="D31" s="340">
        <v>1.8749999999999999E-2</v>
      </c>
      <c r="E31" s="341">
        <v>17.600000000000001</v>
      </c>
      <c r="F31" s="341"/>
      <c r="G31" s="89">
        <f t="shared" si="0"/>
        <v>41127.018750000003</v>
      </c>
      <c r="H31" s="12">
        <f t="shared" si="2"/>
        <v>3.2222222222262644</v>
      </c>
      <c r="I31" s="8"/>
      <c r="K31" s="8"/>
      <c r="L31" s="8"/>
      <c r="M31" s="8"/>
      <c r="N31" s="8"/>
      <c r="O31" s="94"/>
      <c r="Q31" s="481"/>
      <c r="R31" s="483">
        <f t="shared" si="1"/>
        <v>17.600000000000001</v>
      </c>
      <c r="S31" s="481"/>
      <c r="T31" s="481"/>
    </row>
    <row r="32" spans="2:20" ht="13" x14ac:dyDescent="0.3">
      <c r="B32" s="92"/>
      <c r="C32" s="347">
        <v>41127</v>
      </c>
      <c r="D32" s="348">
        <v>0.22777777777777777</v>
      </c>
      <c r="E32" s="349"/>
      <c r="F32" s="349">
        <v>18.8</v>
      </c>
      <c r="G32" s="350">
        <f t="shared" si="0"/>
        <v>41127.227777777778</v>
      </c>
      <c r="H32" s="351">
        <f t="shared" si="2"/>
        <v>3.4312500000014552</v>
      </c>
      <c r="I32" s="8">
        <v>8</v>
      </c>
      <c r="K32" s="8"/>
      <c r="L32" s="8"/>
      <c r="M32" s="8"/>
      <c r="N32" s="8"/>
      <c r="O32" s="94"/>
      <c r="Q32" s="481"/>
      <c r="R32" s="483">
        <f t="shared" si="1"/>
        <v>18.8</v>
      </c>
      <c r="S32" s="481"/>
      <c r="T32" s="481"/>
    </row>
    <row r="33" spans="2:20" ht="13" x14ac:dyDescent="0.3">
      <c r="B33" s="92"/>
      <c r="C33" s="347">
        <v>41127</v>
      </c>
      <c r="D33" s="348">
        <v>0.47847222222222219</v>
      </c>
      <c r="E33" s="349">
        <v>16.8</v>
      </c>
      <c r="F33" s="349"/>
      <c r="G33" s="350">
        <f t="shared" si="0"/>
        <v>41127.478472222225</v>
      </c>
      <c r="H33" s="351">
        <f t="shared" si="2"/>
        <v>3.6819444444481633</v>
      </c>
      <c r="I33" s="8"/>
      <c r="K33" s="8"/>
      <c r="L33" s="8"/>
      <c r="M33" s="8"/>
      <c r="N33" s="8"/>
      <c r="O33" s="94"/>
      <c r="Q33" s="481"/>
      <c r="R33" s="483">
        <f t="shared" si="1"/>
        <v>16.8</v>
      </c>
      <c r="S33" s="481"/>
      <c r="T33" s="481"/>
    </row>
    <row r="34" spans="2:20" ht="13" x14ac:dyDescent="0.3">
      <c r="B34" s="92"/>
      <c r="C34" s="342">
        <v>41127</v>
      </c>
      <c r="D34" s="340">
        <v>0.81319444444444444</v>
      </c>
      <c r="E34" s="341"/>
      <c r="F34" s="341">
        <v>18.8</v>
      </c>
      <c r="G34" s="89">
        <f t="shared" si="0"/>
        <v>41127.813194444447</v>
      </c>
      <c r="H34" s="12">
        <f t="shared" si="2"/>
        <v>4.0166666666700621</v>
      </c>
      <c r="I34" s="8">
        <v>9</v>
      </c>
      <c r="K34" s="8"/>
      <c r="L34" s="8"/>
      <c r="M34" s="8"/>
      <c r="N34" s="8"/>
      <c r="O34" s="94"/>
      <c r="Q34" s="481"/>
      <c r="R34" s="483">
        <f t="shared" si="1"/>
        <v>18.8</v>
      </c>
      <c r="S34" s="481"/>
      <c r="T34" s="481"/>
    </row>
    <row r="35" spans="2:20" ht="13" x14ac:dyDescent="0.3">
      <c r="B35" s="92"/>
      <c r="C35" s="342">
        <v>41128</v>
      </c>
      <c r="D35" s="340">
        <v>2.2916666666666669E-2</v>
      </c>
      <c r="E35" s="341">
        <v>16.8</v>
      </c>
      <c r="F35" s="341"/>
      <c r="G35" s="89">
        <f t="shared" si="0"/>
        <v>41128.022916666669</v>
      </c>
      <c r="H35" s="12">
        <f t="shared" si="2"/>
        <v>4.226388888891961</v>
      </c>
      <c r="I35" s="8"/>
      <c r="K35" s="8"/>
      <c r="L35" s="8"/>
      <c r="M35" s="8"/>
      <c r="N35" s="8"/>
      <c r="O35" s="94"/>
      <c r="Q35" s="481"/>
      <c r="R35" s="483">
        <f t="shared" si="1"/>
        <v>16.8</v>
      </c>
      <c r="S35" s="481"/>
      <c r="T35" s="481"/>
    </row>
    <row r="36" spans="2:20" ht="13" x14ac:dyDescent="0.3">
      <c r="B36" s="92"/>
      <c r="C36" s="347">
        <v>41128</v>
      </c>
      <c r="D36" s="348">
        <v>0.27361111111111108</v>
      </c>
      <c r="E36" s="349"/>
      <c r="F36" s="349">
        <v>18.2</v>
      </c>
      <c r="G36" s="350">
        <f t="shared" si="0"/>
        <v>41128.273611111108</v>
      </c>
      <c r="H36" s="351">
        <f t="shared" si="2"/>
        <v>4.4770833333313931</v>
      </c>
      <c r="I36" s="8">
        <v>10</v>
      </c>
      <c r="K36" s="8"/>
      <c r="L36" s="8"/>
      <c r="M36" s="8"/>
      <c r="N36" s="8"/>
      <c r="O36" s="94"/>
      <c r="Q36" s="481"/>
      <c r="R36" s="483">
        <f t="shared" si="1"/>
        <v>18.2</v>
      </c>
      <c r="S36" s="481"/>
      <c r="T36" s="481"/>
    </row>
    <row r="37" spans="2:20" ht="13" x14ac:dyDescent="0.3">
      <c r="B37" s="92"/>
      <c r="C37" s="347">
        <v>41128</v>
      </c>
      <c r="D37" s="348">
        <v>0.48333333333333334</v>
      </c>
      <c r="E37" s="349">
        <v>16.399999999999999</v>
      </c>
      <c r="F37" s="349"/>
      <c r="G37" s="350">
        <f t="shared" si="0"/>
        <v>41128.48333333333</v>
      </c>
      <c r="H37" s="351">
        <f t="shared" si="2"/>
        <v>4.6868055555532919</v>
      </c>
      <c r="I37" s="8"/>
      <c r="K37" s="8"/>
      <c r="L37" s="8"/>
      <c r="M37" s="8"/>
      <c r="N37" s="8"/>
      <c r="O37" s="94"/>
      <c r="Q37" s="481"/>
      <c r="R37" s="483">
        <f t="shared" si="1"/>
        <v>16.399999999999999</v>
      </c>
      <c r="S37" s="481"/>
      <c r="T37" s="481"/>
    </row>
    <row r="38" spans="2:20" ht="13" x14ac:dyDescent="0.3">
      <c r="B38" s="92"/>
      <c r="C38" s="342">
        <v>41128</v>
      </c>
      <c r="D38" s="340">
        <v>0.77569444444444446</v>
      </c>
      <c r="E38" s="341"/>
      <c r="F38" s="341">
        <v>18.8</v>
      </c>
      <c r="G38" s="89">
        <f t="shared" si="0"/>
        <v>41128.775694444441</v>
      </c>
      <c r="H38" s="12">
        <f t="shared" si="2"/>
        <v>4.9791666666642413</v>
      </c>
      <c r="I38" s="8">
        <v>11</v>
      </c>
      <c r="K38" s="424"/>
      <c r="L38" s="8"/>
      <c r="M38" s="8"/>
      <c r="N38" s="8"/>
      <c r="O38" s="94"/>
      <c r="Q38" s="481"/>
      <c r="R38" s="483">
        <f t="shared" si="1"/>
        <v>18.8</v>
      </c>
      <c r="S38" s="481"/>
      <c r="T38" s="481"/>
    </row>
    <row r="39" spans="2:20" ht="13" x14ac:dyDescent="0.3">
      <c r="B39" s="92"/>
      <c r="C39" s="342">
        <v>41129</v>
      </c>
      <c r="D39" s="340">
        <v>6.8749999999999992E-2</v>
      </c>
      <c r="E39" s="341">
        <v>16.399999999999999</v>
      </c>
      <c r="F39" s="341"/>
      <c r="G39" s="89">
        <f t="shared" si="0"/>
        <v>41129.068749999999</v>
      </c>
      <c r="H39" s="12">
        <f t="shared" si="2"/>
        <v>5.2722222222218988</v>
      </c>
      <c r="I39" s="8"/>
      <c r="K39" s="486"/>
      <c r="L39" s="8"/>
      <c r="M39" s="8"/>
      <c r="N39" s="8"/>
      <c r="O39" s="94"/>
      <c r="Q39" s="481"/>
      <c r="R39" s="483">
        <f t="shared" si="1"/>
        <v>16.399999999999999</v>
      </c>
      <c r="S39" s="481"/>
      <c r="T39" s="481"/>
    </row>
    <row r="40" spans="2:20" ht="13" x14ac:dyDescent="0.3">
      <c r="B40" s="92"/>
      <c r="C40" s="347">
        <v>41129</v>
      </c>
      <c r="D40" s="348">
        <v>0.31944444444444448</v>
      </c>
      <c r="E40" s="349"/>
      <c r="F40" s="349">
        <v>18.100000000000001</v>
      </c>
      <c r="G40" s="350">
        <f t="shared" si="0"/>
        <v>41129.319444444445</v>
      </c>
      <c r="H40" s="351">
        <f t="shared" si="2"/>
        <v>5.5229166666686069</v>
      </c>
      <c r="I40" s="8">
        <v>12</v>
      </c>
      <c r="K40" s="486"/>
      <c r="L40" s="8"/>
      <c r="M40" s="8"/>
      <c r="N40" s="8"/>
      <c r="O40" s="94"/>
      <c r="Q40" s="481"/>
      <c r="R40" s="483">
        <f t="shared" si="1"/>
        <v>18.100000000000001</v>
      </c>
      <c r="S40" s="481"/>
      <c r="T40" s="481"/>
    </row>
    <row r="41" spans="2:20" ht="13" x14ac:dyDescent="0.3">
      <c r="B41" s="92"/>
      <c r="C41" s="347">
        <v>41129</v>
      </c>
      <c r="D41" s="348">
        <v>0.52847222222222223</v>
      </c>
      <c r="E41" s="349">
        <v>16.399999999999999</v>
      </c>
      <c r="F41" s="349"/>
      <c r="G41" s="350">
        <f t="shared" si="0"/>
        <v>41129.52847222222</v>
      </c>
      <c r="H41" s="351">
        <f t="shared" si="2"/>
        <v>5.7319444444437977</v>
      </c>
      <c r="I41" s="8"/>
      <c r="K41" s="424"/>
      <c r="L41" s="8"/>
      <c r="M41" s="8"/>
      <c r="N41" s="8"/>
      <c r="O41" s="94"/>
      <c r="Q41" s="481"/>
      <c r="R41" s="483">
        <f t="shared" si="1"/>
        <v>16.399999999999999</v>
      </c>
      <c r="S41" s="481"/>
      <c r="T41" s="481"/>
    </row>
    <row r="42" spans="2:20" ht="13" x14ac:dyDescent="0.3">
      <c r="B42" s="92"/>
      <c r="C42" s="342">
        <v>41129</v>
      </c>
      <c r="D42" s="340">
        <v>0.73819444444444438</v>
      </c>
      <c r="E42" s="341"/>
      <c r="F42" s="341">
        <v>18.5</v>
      </c>
      <c r="G42" s="89">
        <f t="shared" si="0"/>
        <v>41129.738194444442</v>
      </c>
      <c r="H42" s="12">
        <f t="shared" si="2"/>
        <v>5.9416666666656965</v>
      </c>
      <c r="I42" s="8">
        <v>13</v>
      </c>
      <c r="K42" s="8"/>
      <c r="L42" s="8"/>
      <c r="M42" s="8"/>
      <c r="N42" s="8"/>
      <c r="O42" s="94"/>
      <c r="Q42" s="481"/>
      <c r="R42" s="483">
        <f t="shared" si="1"/>
        <v>18.5</v>
      </c>
      <c r="S42" s="481"/>
      <c r="T42" s="481"/>
    </row>
    <row r="43" spans="2:20" ht="13" x14ac:dyDescent="0.3">
      <c r="B43" s="92"/>
      <c r="C43" s="342">
        <v>41129</v>
      </c>
      <c r="D43" s="340">
        <v>0.98888888888888893</v>
      </c>
      <c r="E43" s="341">
        <v>16.5</v>
      </c>
      <c r="F43" s="341"/>
      <c r="G43" s="89">
        <f t="shared" si="0"/>
        <v>41129.988888888889</v>
      </c>
      <c r="H43" s="12">
        <f t="shared" si="2"/>
        <v>6.1923611111124046</v>
      </c>
      <c r="I43" s="8"/>
      <c r="K43" s="8"/>
      <c r="L43" s="8"/>
      <c r="M43" s="8"/>
      <c r="N43" s="8"/>
      <c r="O43" s="94"/>
      <c r="Q43" s="481"/>
      <c r="R43" s="483">
        <f t="shared" si="1"/>
        <v>16.5</v>
      </c>
      <c r="S43" s="481"/>
      <c r="T43" s="481"/>
    </row>
    <row r="44" spans="2:20" ht="13" x14ac:dyDescent="0.3">
      <c r="B44" s="92"/>
      <c r="C44" s="347">
        <v>41130</v>
      </c>
      <c r="D44" s="348">
        <v>0.24027777777777778</v>
      </c>
      <c r="E44" s="349"/>
      <c r="F44" s="349">
        <v>18.100000000000001</v>
      </c>
      <c r="G44" s="350">
        <f t="shared" si="0"/>
        <v>41130.240277777775</v>
      </c>
      <c r="H44" s="351">
        <f t="shared" si="2"/>
        <v>6.4437499999985448</v>
      </c>
      <c r="I44" s="8">
        <v>14</v>
      </c>
      <c r="K44" s="8"/>
      <c r="L44" s="8"/>
      <c r="M44" s="8"/>
      <c r="N44" s="8"/>
      <c r="O44" s="94"/>
      <c r="Q44" s="481"/>
      <c r="R44" s="483">
        <f t="shared" si="1"/>
        <v>18.100000000000001</v>
      </c>
      <c r="S44" s="481"/>
      <c r="T44" s="481"/>
    </row>
    <row r="45" spans="2:20" ht="13" x14ac:dyDescent="0.3">
      <c r="B45" s="92"/>
      <c r="C45" s="347">
        <v>41130</v>
      </c>
      <c r="D45" s="348">
        <v>0.4909722222222222</v>
      </c>
      <c r="E45" s="349">
        <v>16.399999999999999</v>
      </c>
      <c r="F45" s="349"/>
      <c r="G45" s="350">
        <f t="shared" si="0"/>
        <v>41130.490972222222</v>
      </c>
      <c r="H45" s="351">
        <f t="shared" si="2"/>
        <v>6.6944444444452529</v>
      </c>
      <c r="I45" s="8"/>
      <c r="L45" s="8"/>
      <c r="M45" s="8"/>
      <c r="N45" s="8"/>
      <c r="O45" s="94"/>
      <c r="Q45" s="481"/>
      <c r="R45" s="483">
        <f t="shared" si="1"/>
        <v>16.399999999999999</v>
      </c>
      <c r="S45" s="481"/>
      <c r="T45" s="481"/>
    </row>
    <row r="46" spans="2:20" ht="13" x14ac:dyDescent="0.3">
      <c r="B46" s="92"/>
      <c r="C46" s="342">
        <v>41130</v>
      </c>
      <c r="D46" s="340">
        <v>0.78402777777777777</v>
      </c>
      <c r="E46" s="341"/>
      <c r="F46" s="341">
        <v>18.8</v>
      </c>
      <c r="G46" s="89">
        <f t="shared" si="0"/>
        <v>41130.78402777778</v>
      </c>
      <c r="H46" s="12">
        <f t="shared" si="2"/>
        <v>6.9875000000029104</v>
      </c>
      <c r="I46" s="8">
        <v>15</v>
      </c>
      <c r="L46" s="8"/>
      <c r="M46" s="8"/>
      <c r="N46" s="8"/>
      <c r="O46" s="94"/>
      <c r="Q46" s="481"/>
      <c r="R46" s="483">
        <f t="shared" si="1"/>
        <v>18.8</v>
      </c>
      <c r="S46" s="481"/>
      <c r="T46" s="481"/>
    </row>
    <row r="47" spans="2:20" ht="13" x14ac:dyDescent="0.3">
      <c r="B47" s="92"/>
      <c r="C47" s="342">
        <v>41130</v>
      </c>
      <c r="D47" s="340">
        <v>0.99305555555555547</v>
      </c>
      <c r="E47" s="341">
        <v>16.8</v>
      </c>
      <c r="F47" s="341"/>
      <c r="G47" s="89">
        <f t="shared" si="0"/>
        <v>41130.993055555555</v>
      </c>
      <c r="H47" s="12">
        <f t="shared" si="2"/>
        <v>7.1965277777781012</v>
      </c>
      <c r="I47" s="8"/>
      <c r="L47" s="8"/>
      <c r="M47" s="8"/>
      <c r="N47" s="8"/>
      <c r="O47" s="94"/>
      <c r="Q47" s="481"/>
      <c r="R47" s="483">
        <f t="shared" si="1"/>
        <v>16.8</v>
      </c>
      <c r="S47" s="481"/>
      <c r="T47" s="481"/>
    </row>
    <row r="48" spans="2:20" ht="13" x14ac:dyDescent="0.3">
      <c r="B48" s="92"/>
      <c r="C48" s="8"/>
      <c r="D48" s="8"/>
      <c r="E48" s="430" t="str">
        <f>IF(COUNT(E16:E47)=COUNT(F16:F47),"", "Please enter complete fill periods (i.e., equal number of min and max levels)!")</f>
        <v/>
      </c>
      <c r="F48" s="428"/>
      <c r="G48" s="8"/>
      <c r="H48" s="8"/>
      <c r="I48" s="8"/>
      <c r="J48" s="8"/>
      <c r="L48" s="8"/>
      <c r="M48" s="8"/>
      <c r="N48" s="8"/>
      <c r="O48" s="94"/>
      <c r="Q48" s="481"/>
      <c r="R48" s="481"/>
      <c r="S48" s="481"/>
      <c r="T48" s="481"/>
    </row>
    <row r="49" spans="2:20" ht="27" customHeight="1" thickBot="1" x14ac:dyDescent="0.35">
      <c r="B49" s="92"/>
      <c r="C49" s="8"/>
      <c r="D49" s="8"/>
      <c r="E49" s="429"/>
      <c r="F49" s="429"/>
      <c r="G49" s="8"/>
      <c r="H49" s="8"/>
      <c r="I49" s="8"/>
      <c r="J49" s="8"/>
      <c r="L49" s="8"/>
      <c r="M49" s="8"/>
      <c r="N49" s="8"/>
      <c r="O49" s="94"/>
      <c r="Q49" s="481"/>
      <c r="R49" s="481"/>
      <c r="S49" s="481"/>
      <c r="T49" s="481"/>
    </row>
    <row r="50" spans="2:20" x14ac:dyDescent="0.25">
      <c r="B50" s="92"/>
      <c r="C50" s="17" t="s">
        <v>0</v>
      </c>
      <c r="D50" s="18" t="str">
        <f>IF(D8="y","Vol at Start of Fill","Low/Min Level")</f>
        <v>Low/Min Level</v>
      </c>
      <c r="E50" s="18" t="str">
        <f>IF(D8="y","Vol at End of Fill","High/Max Level")</f>
        <v>High/Max Level</v>
      </c>
      <c r="F50" s="18" t="s">
        <v>13</v>
      </c>
      <c r="G50" s="67" t="s">
        <v>16</v>
      </c>
      <c r="H50" s="18" t="s">
        <v>41</v>
      </c>
      <c r="I50" s="70" t="s">
        <v>6</v>
      </c>
      <c r="J50" s="433" t="s">
        <v>11</v>
      </c>
      <c r="K50" s="434"/>
      <c r="L50" s="435"/>
      <c r="M50" s="51"/>
      <c r="N50" s="52"/>
      <c r="O50" s="94"/>
      <c r="P50" s="487"/>
      <c r="Q50" s="481"/>
      <c r="R50" s="481"/>
      <c r="S50" s="481"/>
      <c r="T50" s="481"/>
    </row>
    <row r="51" spans="2:20" ht="12.75" customHeight="1" x14ac:dyDescent="0.25">
      <c r="B51" s="92"/>
      <c r="C51" s="19"/>
      <c r="D51" s="20"/>
      <c r="E51" s="20"/>
      <c r="F51" s="20" t="s">
        <v>14</v>
      </c>
      <c r="G51" s="68" t="s">
        <v>15</v>
      </c>
      <c r="H51" s="20" t="s">
        <v>42</v>
      </c>
      <c r="I51" s="71" t="s">
        <v>15</v>
      </c>
      <c r="J51" s="20" t="s">
        <v>9</v>
      </c>
      <c r="K51" s="493" t="s">
        <v>232</v>
      </c>
      <c r="L51" s="46" t="s">
        <v>12</v>
      </c>
      <c r="M51" s="20" t="s">
        <v>24</v>
      </c>
      <c r="N51" s="23" t="s">
        <v>25</v>
      </c>
      <c r="O51" s="94"/>
      <c r="P51" s="8"/>
      <c r="Q51" s="481"/>
      <c r="R51" s="481"/>
      <c r="S51" s="481"/>
      <c r="T51" s="481"/>
    </row>
    <row r="52" spans="2:20" ht="26.25" customHeight="1" thickBot="1" x14ac:dyDescent="0.3">
      <c r="B52" s="92"/>
      <c r="C52" s="21"/>
      <c r="D52" s="22" t="str">
        <f>IF(D8="y","(gal)","(ft)")</f>
        <v>(ft)</v>
      </c>
      <c r="E52" s="22" t="str">
        <f>IF(D8="y","(gal)","(ft)")</f>
        <v>(ft)</v>
      </c>
      <c r="F52" s="22" t="s">
        <v>17</v>
      </c>
      <c r="G52" s="69" t="s">
        <v>17</v>
      </c>
      <c r="H52" s="22" t="s">
        <v>17</v>
      </c>
      <c r="I52" s="72" t="s">
        <v>17</v>
      </c>
      <c r="J52" s="305" t="s">
        <v>32</v>
      </c>
      <c r="K52" s="491" t="s">
        <v>233</v>
      </c>
      <c r="L52" s="305" t="s">
        <v>32</v>
      </c>
      <c r="M52" s="22" t="s">
        <v>58</v>
      </c>
      <c r="N52" s="87" t="s">
        <v>58</v>
      </c>
      <c r="O52" s="94"/>
      <c r="Q52" s="481"/>
      <c r="R52" s="481"/>
      <c r="S52" s="481"/>
      <c r="T52" s="481"/>
    </row>
    <row r="53" spans="2:20" ht="13" thickTop="1" x14ac:dyDescent="0.25">
      <c r="B53" s="92">
        <f t="shared" ref="B53:B67" si="3">IF(D53=0,0,1)</f>
        <v>1</v>
      </c>
      <c r="C53" s="73">
        <v>1</v>
      </c>
      <c r="D53" s="74">
        <f>IF(ISBLANK(E18),E19,E18)</f>
        <v>16.899999999999999</v>
      </c>
      <c r="E53" s="74">
        <f>IF(ISBLANK(F18),F19,F18)</f>
        <v>19</v>
      </c>
      <c r="F53" s="86">
        <f>IF(OR($D$7="c",$D$7="h"),($D53)*PI()*($D$10/2)^2*7.48/10^6,IF($D$7="r",$D53*$D$10*$D$11*7.48/10^6,IF($D$8="y",$D53/10^6,"error")))</f>
        <v>0.18961799999999998</v>
      </c>
      <c r="G53" s="86">
        <f>IF(OR($D$7="c",$D$7="h"),($E53-$D53)*PI()*($D$10/2)^2*7.48/10^6,IF($D$7="r",($E53-$D53)*$D$10*$D$11*7.48/10^6,IF($D$8="y",($E53-$D53)/10^6,"error")))</f>
        <v>2.3562000000000017E-2</v>
      </c>
      <c r="H53" s="49"/>
      <c r="I53" s="75">
        <f>IF(D53+E53=0,"n/a",IF(OR($D$7="c",$D$7="h"),((D53+E53)/2)*PI()*($D$10/2)^2*7.48/10^6,IF($D$7="r",((D53+E53)/2)*$D$10*$D$11*7.48/10^6,IF($D$8="y",((D53+E53)/2)/10^6,""))))</f>
        <v>0.20139899999999999</v>
      </c>
      <c r="J53" s="49">
        <f t="shared" ref="J53:J67" si="4">IF(G53=0,"n/a",G53/F53)</f>
        <v>0.12426035502958591</v>
      </c>
      <c r="K53" s="492">
        <f>IF(AND('Tank Summary'!$K$16="y",'Tank Summary'!$K$15 = "n"), IF(E53&lt;=$D$10, 10.2, 3.58*(E53/$D$10)+6.66), IF(AND('Tank Summary'!$K$16="y", 'Tank Summary'!$K$15="y"),IF(E53 &lt;= (PI()/4)*$D$10^3, 10.2, 3.58*(E53/$D$12)+6.66), "Tank mixing equations do not apply"))</f>
        <v>10.199999999999999</v>
      </c>
      <c r="L53" s="76">
        <f>IF(F53=0,"n/a",((K53/1.13)*$D$13)/((F53*10^6/7.48)^(1/3)))</f>
        <v>0.30727630636419528</v>
      </c>
      <c r="M53" s="49" t="str">
        <f>IF(ISERROR(H19-H18),"n/a",IF(ISBLANK(E18), "n/a",H19-H18))</f>
        <v>n/a</v>
      </c>
      <c r="N53" s="50">
        <f>IF(ISERROR(H19-H18),"n/a",IF(ISBLANK(E18), H19-H18,"n/a"))</f>
        <v>0.20972222222189885</v>
      </c>
      <c r="O53" s="94"/>
      <c r="Q53" s="481"/>
      <c r="R53" s="481"/>
      <c r="S53" s="481"/>
      <c r="T53" s="481"/>
    </row>
    <row r="54" spans="2:20" x14ac:dyDescent="0.25">
      <c r="B54" s="92">
        <f t="shared" si="3"/>
        <v>1</v>
      </c>
      <c r="C54" s="77">
        <v>2</v>
      </c>
      <c r="D54" s="74">
        <f>IF(ISBLANK(E20),E21,E20)</f>
        <v>16.600000000000001</v>
      </c>
      <c r="E54" s="74">
        <f>IF(ISBLANK(F20),F21,F20)</f>
        <v>18.399999999999999</v>
      </c>
      <c r="F54" s="32">
        <f>IF(OR($D$7="c",$D$7="h"),($D54)*PI()*($D$10/2)^2*7.48/10^6,IF($D$7="r",$D54*$D$10*$D$11*7.48/10^6,IF($D$8="y",$D54/10^6,"error")))</f>
        <v>0.18625200000000003</v>
      </c>
      <c r="G54" s="32">
        <f>IF(OR($D$7="c",$D$7="h"),($E54-$D54)*PI()*($D$10/2)^2*7.48/10^6,IF($D$7="r",($E54-$D54)*$D$10*$D$11*7.48/10^6,IF($D$8="y",($E54-$D54)/10^6,"error")))</f>
        <v>2.0195999999999971E-2</v>
      </c>
      <c r="H54" s="49">
        <f>IF(D54,IF(OR($D$7="c",$D$7="h"),($E53-$D54)*PI()*($D$10/2)^2*7.48/10^6,IF($D$7="r",($E53-$D54)*$D$10*$D$11*7.48/10^6,IF($D$8="y",($E53-$D54)/10^6,""))),"")</f>
        <v>2.6927999999999987E-2</v>
      </c>
      <c r="I54" s="75">
        <f>IF(D54+E54=0,"n/a",IF(OR($D$7="c",$D$7="h"),((D54+E54)/2)*PI()*($D$10/2)^2*7.48/10^6,IF($D$7="r",((D54+E54)/2)*$D$10*$D$11*7.48/10^6,IF($D$8="y",((D54+E54)/2)/10^6,""))))</f>
        <v>0.19635</v>
      </c>
      <c r="J54" s="11">
        <f t="shared" si="4"/>
        <v>0.10843373493975886</v>
      </c>
      <c r="K54" s="492">
        <f>IF(AND('Tank Summary'!$K$16="y",'Tank Summary'!$K$15 = "n"), IF(E54&lt;=$D$10, 10.2, 3.58*(E54/$D$10)+6.66), IF(AND('Tank Summary'!$K$16="y", 'Tank Summary'!$K$15="y"),IF(E54 &lt;= (PI()/4)*$D$10^3, 10.2, 3.58*(E54/$D$12)+6.66), "Tank mixing equations do not apply"))</f>
        <v>10.199999999999999</v>
      </c>
      <c r="L54" s="76">
        <f t="shared" ref="L54:L67" si="5">IF(F54=0,"n/a",((K54/1.13)*$D$13)/((F54*10^6/7.48)^(1/3)))</f>
        <v>0.30911632810063877</v>
      </c>
      <c r="M54" s="11">
        <f>IF(ISERROR(H21-H20),"n/a",IF(ISBLANK(E20), H20-H19,H21-H20))</f>
        <v>0.20902777778246673</v>
      </c>
      <c r="N54" s="47">
        <f>IF(ISERROR(H21-H20),"n/a",IF(ISBLANK(E20), H21-H20,H20-H19))</f>
        <v>0.25069444443943212</v>
      </c>
      <c r="O54" s="94"/>
      <c r="Q54" s="481"/>
      <c r="R54" s="481"/>
      <c r="S54" s="481"/>
      <c r="T54" s="481"/>
    </row>
    <row r="55" spans="2:20" x14ac:dyDescent="0.25">
      <c r="B55" s="92">
        <f t="shared" si="3"/>
        <v>1</v>
      </c>
      <c r="C55" s="77">
        <v>3</v>
      </c>
      <c r="D55" s="74">
        <f>IF(ISBLANK(E22),E23,E22)</f>
        <v>16.899999999999999</v>
      </c>
      <c r="E55" s="74">
        <f>IF(ISBLANK(F22),F23,F22)</f>
        <v>18.899999999999999</v>
      </c>
      <c r="F55" s="32">
        <f t="shared" ref="F55:F67" si="6">IF(OR($D$7="c",$D$7="h"),($D55)*PI()*($D$10/2)^2*7.48/10^6,IF($D$7="r",$D55*$D$10*$D$11*7.48/10^6,IF($D$8="y",$D55/10^6,"error")))</f>
        <v>0.18961799999999998</v>
      </c>
      <c r="G55" s="32">
        <f t="shared" ref="G55:G67" si="7">IF(OR($D$7="c",$D$7="h"),($E55-$D55)*PI()*($D$10/2)^2*7.48/10^6,IF($D$7="r",($E55-$D55)*$D$10*$D$11*7.48/10^6,IF($D$8="y",($E55-$D55)/10^6,"error")))</f>
        <v>2.2440000000000002E-2</v>
      </c>
      <c r="H55" s="49">
        <f t="shared" ref="H55:H67" si="8">IF(D55,IF(OR($D$7="c",$D$7="h"),($E54-$D55)*PI()*($D$10/2)^2*7.48/10^6,IF($D$7="r",($E54-$D55)*$D$10*$D$11*7.48/10^6,IF($D$8="y",($E54-$D55)/10^6,""))),"")</f>
        <v>1.6830000000000001E-2</v>
      </c>
      <c r="I55" s="75">
        <f t="shared" ref="I55:I67" si="9">IF(D55+E55=0,"n/a",IF(OR($D$7="c",$D$7="h"),((D55+E55)/2)*PI()*($D$10/2)^2*7.48/10^6,IF($D$7="r",((D55+E55)/2)*$D$10*$D$11*7.48/10^6,IF($D$8="y",((D55+E55)/2)/10^6,""))))</f>
        <v>0.20083799999999996</v>
      </c>
      <c r="J55" s="11">
        <f t="shared" si="4"/>
        <v>0.11834319526627221</v>
      </c>
      <c r="K55" s="492">
        <f>IF(AND('Tank Summary'!$K$16="y",'Tank Summary'!$K$15 = "n"), IF(E55&lt;=$D$10, 10.2, 3.58*(E55/$D$10)+6.66), IF(AND('Tank Summary'!$K$16="y", 'Tank Summary'!$K$15="y"),IF(E55 &lt;= (PI()/4)*$D$10^3, 10.2, 3.58*(E55/$D$12)+6.66), "Tank mixing equations do not apply"))</f>
        <v>10.199999999999999</v>
      </c>
      <c r="L55" s="76">
        <f t="shared" si="5"/>
        <v>0.30727630636419528</v>
      </c>
      <c r="M55" s="11">
        <f>IF(ISERROR(H23-H22),"n/a",IF(ISBLANK(E22), H22-H21,H23-H22))</f>
        <v>0.2930555555576575</v>
      </c>
      <c r="N55" s="47">
        <f>IF(ISERROR(H23-H22),"n/a",IF(ISBLANK(E22), H23-H22,H22-H21))</f>
        <v>0.20902777777519077</v>
      </c>
      <c r="O55" s="94"/>
      <c r="Q55" s="481"/>
      <c r="R55" s="481"/>
      <c r="S55" s="481"/>
      <c r="T55" s="481"/>
    </row>
    <row r="56" spans="2:20" x14ac:dyDescent="0.25">
      <c r="B56" s="92">
        <f t="shared" si="3"/>
        <v>1</v>
      </c>
      <c r="C56" s="77">
        <v>4</v>
      </c>
      <c r="D56" s="74">
        <f>IF(ISBLANK(E24),E25,E24)</f>
        <v>16.899999999999999</v>
      </c>
      <c r="E56" s="74">
        <f>IF(ISBLANK(F24),F25,F24)</f>
        <v>18.7</v>
      </c>
      <c r="F56" s="32">
        <f t="shared" si="6"/>
        <v>0.18961799999999998</v>
      </c>
      <c r="G56" s="32">
        <f t="shared" si="7"/>
        <v>2.0196000000000006E-2</v>
      </c>
      <c r="H56" s="49">
        <f t="shared" si="8"/>
        <v>2.2440000000000002E-2</v>
      </c>
      <c r="I56" s="75">
        <f t="shared" si="9"/>
        <v>0.19971599999999998</v>
      </c>
      <c r="J56" s="11">
        <f t="shared" si="4"/>
        <v>0.10650887573964501</v>
      </c>
      <c r="K56" s="492">
        <f>IF(AND('Tank Summary'!$K$16="y",'Tank Summary'!$K$15 = "n"), IF(E56&lt;=$D$10, 10.2, 3.58*(E56/$D$10)+6.66), IF(AND('Tank Summary'!$K$16="y", 'Tank Summary'!$K$15="y"),IF(E56 &lt;= (PI()/4)*$D$10^3, 10.2, 3.58*(E56/$D$12)+6.66), "Tank mixing equations do not apply"))</f>
        <v>10.199999999999999</v>
      </c>
      <c r="L56" s="76">
        <f t="shared" si="5"/>
        <v>0.30727630636419528</v>
      </c>
      <c r="M56" s="11">
        <f>IF(ISERROR(H25-H24),"n/a",IF(ISBLANK(E24), H24-H23,H25-H24))</f>
        <v>0.25138888889341615</v>
      </c>
      <c r="N56" s="47">
        <f>IF(ISERROR(H25-H24),"n/a",IF(ISBLANK(E24), H25-H24,H24-H23))</f>
        <v>0.20902777777519077</v>
      </c>
      <c r="O56" s="94"/>
      <c r="Q56" s="481"/>
      <c r="R56" s="481"/>
      <c r="S56" s="481"/>
      <c r="T56" s="481"/>
    </row>
    <row r="57" spans="2:20" x14ac:dyDescent="0.25">
      <c r="B57" s="92">
        <f t="shared" si="3"/>
        <v>1</v>
      </c>
      <c r="C57" s="77">
        <v>5</v>
      </c>
      <c r="D57" s="74">
        <f>IF(ISBLANK(E26),E27,E26)</f>
        <v>17.399999999999999</v>
      </c>
      <c r="E57" s="74">
        <f>IF(ISBLANK(F26),F27,F26)</f>
        <v>19.5</v>
      </c>
      <c r="F57" s="32">
        <f t="shared" si="6"/>
        <v>0.19522799999999996</v>
      </c>
      <c r="G57" s="32">
        <f t="shared" si="7"/>
        <v>2.3562000000000017E-2</v>
      </c>
      <c r="H57" s="49">
        <f t="shared" si="8"/>
        <v>1.4586000000000007E-2</v>
      </c>
      <c r="I57" s="75">
        <f t="shared" si="9"/>
        <v>0.207009</v>
      </c>
      <c r="J57" s="11">
        <f t="shared" si="4"/>
        <v>0.12068965517241391</v>
      </c>
      <c r="K57" s="492">
        <f>IF(AND('Tank Summary'!$K$16="y",'Tank Summary'!$K$15 = "n"), IF(E57&lt;=$D$10, 10.2, 3.58*(E57/$D$10)+6.66), IF(AND('Tank Summary'!$K$16="y", 'Tank Summary'!$K$15="y"),IF(E57 &lt;= (PI()/4)*$D$10^3, 10.2, 3.58*(E57/$D$12)+6.66), "Tank mixing equations do not apply"))</f>
        <v>10.199999999999999</v>
      </c>
      <c r="L57" s="76">
        <f t="shared" si="5"/>
        <v>0.30430439570862189</v>
      </c>
      <c r="M57" s="11">
        <f>IF(ISERROR(H27-H26),"n/a",IF(ISBLANK(E26), H26-H25,H27-H26))</f>
        <v>0.37638888888614019</v>
      </c>
      <c r="N57" s="47">
        <f>IF(ISERROR(H27-H26),"n/a",IF(ISBLANK(E26), H27-H26,H26-H25))</f>
        <v>0.20972222222189885</v>
      </c>
      <c r="O57" s="94"/>
      <c r="Q57" s="481"/>
      <c r="R57" s="481"/>
      <c r="S57" s="481"/>
      <c r="T57" s="481"/>
    </row>
    <row r="58" spans="2:20" x14ac:dyDescent="0.25">
      <c r="B58" s="92">
        <f t="shared" si="3"/>
        <v>1</v>
      </c>
      <c r="C58" s="77">
        <v>6</v>
      </c>
      <c r="D58" s="74">
        <f>IF(ISBLANK(E28),E29,E28)</f>
        <v>17</v>
      </c>
      <c r="E58" s="74">
        <f>IF(ISBLANK(F28),F29,F28)</f>
        <v>18.8</v>
      </c>
      <c r="F58" s="32">
        <f t="shared" si="6"/>
        <v>0.19073999999999999</v>
      </c>
      <c r="G58" s="32">
        <f t="shared" si="7"/>
        <v>2.0196000000000006E-2</v>
      </c>
      <c r="H58" s="49">
        <f t="shared" si="8"/>
        <v>2.8049999999999999E-2</v>
      </c>
      <c r="I58" s="75">
        <f t="shared" si="9"/>
        <v>0.20083799999999996</v>
      </c>
      <c r="J58" s="11">
        <f t="shared" si="4"/>
        <v>0.10588235294117651</v>
      </c>
      <c r="K58" s="492">
        <f>IF(AND('Tank Summary'!$K$16="y",'Tank Summary'!$K$15 = "n"), IF(E58&lt;=$D$10, 10.2, 3.58*(E58/$D$10)+6.66), IF(AND('Tank Summary'!$K$16="y", 'Tank Summary'!$K$15="y"),IF(E58 &lt;= (PI()/4)*$D$10^3, 10.2, 3.58*(E58/$D$12)+6.66), "Tank mixing equations do not apply"))</f>
        <v>10.199999999999999</v>
      </c>
      <c r="L58" s="76">
        <f t="shared" si="5"/>
        <v>0.30667261854920858</v>
      </c>
      <c r="M58" s="11">
        <f>IF(ISERROR(H29-H28),"n/a",IF(ISBLANK(E28), H28-H27,H29-H28))</f>
        <v>0.25069444444670808</v>
      </c>
      <c r="N58" s="47">
        <f>IF(ISERROR(H29-H28),"n/a",IF(ISBLANK(E28), H29-H28,H28-H27))</f>
        <v>0.20902777778246673</v>
      </c>
      <c r="O58" s="94"/>
      <c r="Q58" s="481"/>
      <c r="R58" s="481"/>
      <c r="S58" s="481"/>
      <c r="T58" s="481"/>
    </row>
    <row r="59" spans="2:20" x14ac:dyDescent="0.25">
      <c r="B59" s="92">
        <f t="shared" si="3"/>
        <v>1</v>
      </c>
      <c r="C59" s="77">
        <v>7</v>
      </c>
      <c r="D59" s="74">
        <f>IF(ISBLANK(E30),E31,E30)</f>
        <v>17.600000000000001</v>
      </c>
      <c r="E59" s="74">
        <f>IF(ISBLANK(F30),F31,F30)</f>
        <v>19.2</v>
      </c>
      <c r="F59" s="32">
        <f t="shared" si="6"/>
        <v>0.19747200000000004</v>
      </c>
      <c r="G59" s="32">
        <f t="shared" si="7"/>
        <v>1.7951999999999975E-2</v>
      </c>
      <c r="H59" s="49">
        <f t="shared" si="8"/>
        <v>1.3463999999999993E-2</v>
      </c>
      <c r="I59" s="75">
        <f t="shared" si="9"/>
        <v>0.20644799999999996</v>
      </c>
      <c r="J59" s="11">
        <f t="shared" si="4"/>
        <v>9.0909090909090759E-2</v>
      </c>
      <c r="K59" s="492">
        <f>IF(AND('Tank Summary'!$K$16="y",'Tank Summary'!$K$15 = "n"), IF(E59&lt;=$D$10, 10.2, 3.58*(E59/$D$10)+6.66), IF(AND('Tank Summary'!$K$16="y", 'Tank Summary'!$K$15="y"),IF(E59 &lt;= (PI()/4)*$D$10^3, 10.2, 3.58*(E59/$D$12)+6.66), "Tank mixing equations do not apply"))</f>
        <v>10.199999999999999</v>
      </c>
      <c r="L59" s="76">
        <f t="shared" si="5"/>
        <v>0.30314733360100238</v>
      </c>
      <c r="M59" s="11">
        <f>IF(ISERROR(H31-H30),"n/a",IF(ISBLANK(E30), H30-H29,H31-H30))</f>
        <v>0.37708333333284827</v>
      </c>
      <c r="N59" s="47">
        <f>IF(ISERROR(H31-H30),"n/a",IF(ISBLANK(E30), H31-H30,H30-H29))</f>
        <v>0.16736111111094942</v>
      </c>
      <c r="O59" s="94"/>
      <c r="Q59" s="481"/>
      <c r="R59" s="481"/>
      <c r="S59" s="481"/>
      <c r="T59" s="481"/>
    </row>
    <row r="60" spans="2:20" x14ac:dyDescent="0.25">
      <c r="B60" s="92">
        <f t="shared" si="3"/>
        <v>1</v>
      </c>
      <c r="C60" s="77">
        <v>8</v>
      </c>
      <c r="D60" s="74">
        <f>IF(ISBLANK(E32),E33,E32)</f>
        <v>16.8</v>
      </c>
      <c r="E60" s="74">
        <f>IF(ISBLANK(F32),F33,F32)</f>
        <v>18.8</v>
      </c>
      <c r="F60" s="32">
        <f t="shared" si="6"/>
        <v>0.188496</v>
      </c>
      <c r="G60" s="32">
        <f t="shared" si="7"/>
        <v>2.2440000000000002E-2</v>
      </c>
      <c r="H60" s="49">
        <f t="shared" si="8"/>
        <v>2.6927999999999987E-2</v>
      </c>
      <c r="I60" s="75">
        <f t="shared" si="9"/>
        <v>0.199716</v>
      </c>
      <c r="J60" s="11">
        <f t="shared" si="4"/>
        <v>0.11904761904761905</v>
      </c>
      <c r="K60" s="492">
        <f>IF(AND('Tank Summary'!$K$16="y",'Tank Summary'!$K$15 = "n"), IF(E60&lt;=$D$10, 10.2, 3.58*(E60/$D$10)+6.66), IF(AND('Tank Summary'!$K$16="y", 'Tank Summary'!$K$15="y"),IF(E60 &lt;= (PI()/4)*$D$10^3, 10.2, 3.58*(E60/$D$12)+6.66), "Tank mixing equations do not apply"))</f>
        <v>10.199999999999999</v>
      </c>
      <c r="L60" s="76">
        <f t="shared" si="5"/>
        <v>0.30788477588663415</v>
      </c>
      <c r="M60" s="11">
        <f>IF(ISERROR(H33-H32),"n/a",IF(ISBLANK(E32), H32-H31,H33-H32))</f>
        <v>0.20902777777519077</v>
      </c>
      <c r="N60" s="47">
        <f>IF(ISERROR(H33-H32),"n/a",IF(ISBLANK(E32), H33-H32,H32-H31))</f>
        <v>0.25069444444670808</v>
      </c>
      <c r="O60" s="94"/>
      <c r="Q60" s="481"/>
      <c r="R60" s="481"/>
      <c r="S60" s="481"/>
      <c r="T60" s="481"/>
    </row>
    <row r="61" spans="2:20" x14ac:dyDescent="0.25">
      <c r="B61" s="92">
        <f t="shared" si="3"/>
        <v>1</v>
      </c>
      <c r="C61" s="77">
        <v>9</v>
      </c>
      <c r="D61" s="74">
        <f>IF(ISBLANK(E34),E35,E34)</f>
        <v>16.8</v>
      </c>
      <c r="E61" s="74">
        <f>IF(ISBLANK(F34),F35,F34)</f>
        <v>18.8</v>
      </c>
      <c r="F61" s="32">
        <f t="shared" si="6"/>
        <v>0.188496</v>
      </c>
      <c r="G61" s="32">
        <f t="shared" si="7"/>
        <v>2.2440000000000002E-2</v>
      </c>
      <c r="H61" s="49">
        <f t="shared" si="8"/>
        <v>2.2440000000000002E-2</v>
      </c>
      <c r="I61" s="75">
        <f t="shared" si="9"/>
        <v>0.199716</v>
      </c>
      <c r="J61" s="11">
        <f t="shared" si="4"/>
        <v>0.11904761904761905</v>
      </c>
      <c r="K61" s="492">
        <f>IF(AND('Tank Summary'!$K$16="y",'Tank Summary'!$K$15 = "n"), IF(E61&lt;=$D$10, 10.2, 3.58*(E61/$D$10)+6.66), IF(AND('Tank Summary'!$K$16="y", 'Tank Summary'!$K$15="y"),IF(E61 &lt;= (PI()/4)*$D$10^3, 10.2, 3.58*(E61/$D$12)+6.66), "Tank mixing equations do not apply"))</f>
        <v>10.199999999999999</v>
      </c>
      <c r="L61" s="76">
        <f t="shared" si="5"/>
        <v>0.30788477588663415</v>
      </c>
      <c r="M61" s="11">
        <f>IF(ISERROR(H35-H34),"n/a",IF(ISBLANK(E34), H34-H33,H35-H34))</f>
        <v>0.33472222222189885</v>
      </c>
      <c r="N61" s="47">
        <f>IF(ISERROR(H35-H34),"n/a",IF(ISBLANK(E34), H35-H34,H34-H33))</f>
        <v>0.20972222222189885</v>
      </c>
      <c r="O61" s="94"/>
      <c r="Q61" s="481"/>
      <c r="R61" s="481"/>
      <c r="S61" s="481"/>
      <c r="T61" s="481"/>
    </row>
    <row r="62" spans="2:20" x14ac:dyDescent="0.25">
      <c r="B62" s="92">
        <f t="shared" si="3"/>
        <v>1</v>
      </c>
      <c r="C62" s="77">
        <v>10</v>
      </c>
      <c r="D62" s="74">
        <f>IF(ISBLANK(E36),E37,E36)</f>
        <v>16.399999999999999</v>
      </c>
      <c r="E62" s="74">
        <f>IF(ISBLANK(F36),F37,F36)</f>
        <v>18.2</v>
      </c>
      <c r="F62" s="32">
        <f t="shared" si="6"/>
        <v>0.18400799999999998</v>
      </c>
      <c r="G62" s="32">
        <f t="shared" si="7"/>
        <v>2.0196000000000006E-2</v>
      </c>
      <c r="H62" s="49">
        <f t="shared" si="8"/>
        <v>2.6928000000000028E-2</v>
      </c>
      <c r="I62" s="75">
        <f t="shared" si="9"/>
        <v>0.19410599999999997</v>
      </c>
      <c r="J62" s="11">
        <f t="shared" si="4"/>
        <v>0.10975609756097565</v>
      </c>
      <c r="K62" s="492">
        <f>IF(AND('Tank Summary'!$K$16="y",'Tank Summary'!$K$15 = "n"), IF(E62&lt;=$D$10, 10.2, 3.58*(E62/$D$10)+6.66), IF(AND('Tank Summary'!$K$16="y", 'Tank Summary'!$K$15="y"),IF(E62 &lt;= (PI()/4)*$D$10^3, 10.2, 3.58*(E62/$D$12)+6.66), "Tank mixing equations do not apply"))</f>
        <v>10.199999999999999</v>
      </c>
      <c r="L62" s="76">
        <f t="shared" si="5"/>
        <v>0.31036782485840325</v>
      </c>
      <c r="M62" s="11">
        <f>IF(ISERROR(H37-H36),"n/a",IF(ISBLANK(E36), H36-H35,H37-H36))</f>
        <v>0.25069444443943212</v>
      </c>
      <c r="N62" s="47">
        <f>IF(ISERROR(H37-H36),"n/a",IF(ISBLANK(E36), H37-H36,H36-H35))</f>
        <v>0.20972222222189885</v>
      </c>
      <c r="O62" s="94"/>
      <c r="Q62" s="481"/>
      <c r="R62" s="481"/>
      <c r="S62" s="481"/>
      <c r="T62" s="481"/>
    </row>
    <row r="63" spans="2:20" x14ac:dyDescent="0.25">
      <c r="B63" s="92">
        <f t="shared" si="3"/>
        <v>1</v>
      </c>
      <c r="C63" s="77">
        <v>11</v>
      </c>
      <c r="D63" s="74">
        <f>IF(ISBLANK(E38),E39,E38)</f>
        <v>16.399999999999999</v>
      </c>
      <c r="E63" s="74">
        <f>IF(ISBLANK(F38),F39,F38)</f>
        <v>18.8</v>
      </c>
      <c r="F63" s="32">
        <f t="shared" si="6"/>
        <v>0.18400799999999998</v>
      </c>
      <c r="G63" s="32">
        <f t="shared" si="7"/>
        <v>2.6928000000000028E-2</v>
      </c>
      <c r="H63" s="49">
        <f t="shared" si="8"/>
        <v>2.0196000000000006E-2</v>
      </c>
      <c r="I63" s="75">
        <f t="shared" si="9"/>
        <v>0.19747200000000004</v>
      </c>
      <c r="J63" s="11">
        <f t="shared" si="4"/>
        <v>0.14634146341463433</v>
      </c>
      <c r="K63" s="492">
        <f>IF(AND('Tank Summary'!$K$16="y",'Tank Summary'!$K$15 = "n"), IF(E63&lt;=$D$10, 10.2, 3.58*(E63/$D$10)+6.66), IF(AND('Tank Summary'!$K$16="y", 'Tank Summary'!$K$15="y"),IF(E63 &lt;= (PI()/4)*$D$10^3, 10.2, 3.58*(E63/$D$12)+6.66), "Tank mixing equations do not apply"))</f>
        <v>10.199999999999999</v>
      </c>
      <c r="L63" s="76">
        <f t="shared" si="5"/>
        <v>0.31036782485840325</v>
      </c>
      <c r="M63" s="11">
        <f>IF(ISERROR(H39-H38),"n/a",IF(ISBLANK(E38), H38-H37,H39-H38))</f>
        <v>0.29236111111094942</v>
      </c>
      <c r="N63" s="47">
        <f>IF(ISERROR(H39-H38),"n/a",IF(ISBLANK(E38), H39-H38,H38-H37))</f>
        <v>0.2930555555576575</v>
      </c>
      <c r="O63" s="94"/>
      <c r="Q63" s="481"/>
      <c r="R63" s="481"/>
      <c r="S63" s="481"/>
      <c r="T63" s="481"/>
    </row>
    <row r="64" spans="2:20" x14ac:dyDescent="0.25">
      <c r="B64" s="92">
        <f t="shared" si="3"/>
        <v>1</v>
      </c>
      <c r="C64" s="77">
        <v>12</v>
      </c>
      <c r="D64" s="74">
        <f>IF(ISBLANK(E40),E41,E40)</f>
        <v>16.399999999999999</v>
      </c>
      <c r="E64" s="74">
        <f>IF(ISBLANK(F40),F41,F40)</f>
        <v>18.100000000000001</v>
      </c>
      <c r="F64" s="32">
        <f t="shared" si="6"/>
        <v>0.18400799999999998</v>
      </c>
      <c r="G64" s="32">
        <f t="shared" si="7"/>
        <v>1.9074000000000032E-2</v>
      </c>
      <c r="H64" s="49">
        <f t="shared" si="8"/>
        <v>2.6928000000000028E-2</v>
      </c>
      <c r="I64" s="75">
        <f t="shared" si="9"/>
        <v>0.19354499999999999</v>
      </c>
      <c r="J64" s="11">
        <f t="shared" si="4"/>
        <v>0.10365853658536604</v>
      </c>
      <c r="K64" s="492">
        <f>IF(AND('Tank Summary'!$K$16="y",'Tank Summary'!$K$15 = "n"), IF(E64&lt;=$D$10, 10.2, 3.58*(E64/$D$10)+6.66), IF(AND('Tank Summary'!$K$16="y", 'Tank Summary'!$K$15="y"),IF(E64 &lt;= (PI()/4)*$D$10^3, 10.2, 3.58*(E64/$D$12)+6.66), "Tank mixing equations do not apply"))</f>
        <v>10.199999999999999</v>
      </c>
      <c r="L64" s="76">
        <f t="shared" si="5"/>
        <v>0.31036782485840325</v>
      </c>
      <c r="M64" s="11">
        <f>IF(ISERROR(H41-H40),"n/a",IF(ISBLANK(E40), H40-H39,H41-H40))</f>
        <v>0.25069444444670808</v>
      </c>
      <c r="N64" s="47">
        <f>IF(ISERROR(H41-H40),"n/a",IF(ISBLANK(E40), H41-H40,H40-H39))</f>
        <v>0.20902777777519077</v>
      </c>
      <c r="O64" s="94"/>
      <c r="Q64" s="481"/>
      <c r="R64" s="481"/>
      <c r="S64" s="481"/>
      <c r="T64" s="481"/>
    </row>
    <row r="65" spans="1:20" x14ac:dyDescent="0.25">
      <c r="B65" s="92">
        <f t="shared" si="3"/>
        <v>1</v>
      </c>
      <c r="C65" s="77">
        <v>13</v>
      </c>
      <c r="D65" s="74">
        <f>IF(ISBLANK(E42),E43,E42)</f>
        <v>16.5</v>
      </c>
      <c r="E65" s="74">
        <f>IF(ISBLANK(F42),F43,F42)</f>
        <v>18.5</v>
      </c>
      <c r="F65" s="32">
        <f t="shared" si="6"/>
        <v>0.18512999999999999</v>
      </c>
      <c r="G65" s="32">
        <f t="shared" si="7"/>
        <v>2.2440000000000002E-2</v>
      </c>
      <c r="H65" s="49">
        <f t="shared" si="8"/>
        <v>1.7952000000000017E-2</v>
      </c>
      <c r="I65" s="75">
        <f t="shared" si="9"/>
        <v>0.19635</v>
      </c>
      <c r="J65" s="11">
        <f t="shared" si="4"/>
        <v>0.12121212121212123</v>
      </c>
      <c r="K65" s="492">
        <f>IF(AND('Tank Summary'!$K$16="y",'Tank Summary'!$K$15 = "n"), IF(E65&lt;=$D$10, 10.2, 3.58*(E65/$D$10)+6.66), IF(AND('Tank Summary'!$K$16="y", 'Tank Summary'!$K$15="y"),IF(E65 &lt;= (PI()/4)*$D$10^3, 10.2, 3.58*(E65/$D$12)+6.66), "Tank mixing equations do not apply"))</f>
        <v>10.199999999999999</v>
      </c>
      <c r="L65" s="76">
        <f t="shared" si="5"/>
        <v>0.30973954819120425</v>
      </c>
      <c r="M65" s="11">
        <f>IF(ISERROR(H43-H42),"n/a",IF(ISBLANK(E42), H42-H41,H43-H42))</f>
        <v>0.20972222222189885</v>
      </c>
      <c r="N65" s="47">
        <f>IF(ISERROR(H43-H42),"n/a",IF(ISBLANK(E42), H43-H42,H42-H41))</f>
        <v>0.25069444444670808</v>
      </c>
      <c r="O65" s="94"/>
      <c r="Q65" s="481"/>
      <c r="R65" s="481"/>
      <c r="S65" s="481"/>
      <c r="T65" s="481"/>
    </row>
    <row r="66" spans="1:20" x14ac:dyDescent="0.25">
      <c r="B66" s="92">
        <f t="shared" si="3"/>
        <v>1</v>
      </c>
      <c r="C66" s="77">
        <v>14</v>
      </c>
      <c r="D66" s="74">
        <f>IF(ISBLANK(E44),E45,E44)</f>
        <v>16.399999999999999</v>
      </c>
      <c r="E66" s="74">
        <f>IF(ISBLANK(F44),F45,F44)</f>
        <v>18.100000000000001</v>
      </c>
      <c r="F66" s="32">
        <f t="shared" si="6"/>
        <v>0.18400799999999998</v>
      </c>
      <c r="G66" s="32">
        <f t="shared" si="7"/>
        <v>1.9074000000000032E-2</v>
      </c>
      <c r="H66" s="49">
        <f t="shared" si="8"/>
        <v>2.3562000000000017E-2</v>
      </c>
      <c r="I66" s="75">
        <f t="shared" si="9"/>
        <v>0.19354499999999999</v>
      </c>
      <c r="J66" s="11">
        <f t="shared" si="4"/>
        <v>0.10365853658536604</v>
      </c>
      <c r="K66" s="492">
        <f>IF(AND('Tank Summary'!$K$16="y",'Tank Summary'!$K$15 = "n"), IF(E66&lt;=$D$10, 10.2, 3.58*(E66/$D$10)+6.66), IF(AND('Tank Summary'!$K$16="y", 'Tank Summary'!$K$15="y"),IF(E66 &lt;= (PI()/4)*$D$10^3, 10.2, 3.58*(E66/$D$12)+6.66), "Tank mixing equations do not apply"))</f>
        <v>10.199999999999999</v>
      </c>
      <c r="L66" s="76">
        <f t="shared" si="5"/>
        <v>0.31036782485840325</v>
      </c>
      <c r="M66" s="11">
        <f>IF(ISERROR(H45-H44),"n/a",IF(ISBLANK(E44), H44-H43,H45-H44))</f>
        <v>0.25138888888614019</v>
      </c>
      <c r="N66" s="47">
        <f>IF(ISERROR(H45-H44),"n/a",IF(ISBLANK(E44), H45-H44,H44-H43))</f>
        <v>0.25069444444670808</v>
      </c>
      <c r="O66" s="94"/>
      <c r="Q66" s="481"/>
      <c r="R66" s="481"/>
      <c r="S66" s="481"/>
      <c r="T66" s="481"/>
    </row>
    <row r="67" spans="1:20" ht="13" thickBot="1" x14ac:dyDescent="0.3">
      <c r="B67" s="92">
        <f t="shared" si="3"/>
        <v>1</v>
      </c>
      <c r="C67" s="78">
        <v>15</v>
      </c>
      <c r="D67" s="79">
        <f>IF(ISBLANK(E46),E47,E46)</f>
        <v>16.8</v>
      </c>
      <c r="E67" s="79">
        <f>IF(ISBLANK(F46),F47,F46)</f>
        <v>18.8</v>
      </c>
      <c r="F67" s="127">
        <f t="shared" si="6"/>
        <v>0.188496</v>
      </c>
      <c r="G67" s="127">
        <f t="shared" si="7"/>
        <v>2.2440000000000002E-2</v>
      </c>
      <c r="H67" s="128">
        <f t="shared" si="8"/>
        <v>1.4586000000000007E-2</v>
      </c>
      <c r="I67" s="129">
        <f t="shared" si="9"/>
        <v>0.199716</v>
      </c>
      <c r="J67" s="48">
        <f t="shared" si="4"/>
        <v>0.11904761904761905</v>
      </c>
      <c r="K67" s="492">
        <f>IF(AND('Tank Summary'!$K$16="y",'Tank Summary'!$K$15 = "n"), IF(E67&lt;=$D$10, 10.2, 3.58*(E67/$D$10)+6.66), IF(AND('Tank Summary'!$K$16="y", 'Tank Summary'!$K$15="y"),IF(E67 &lt;= (PI()/4)*$D$10^3, 10.2, 3.58*(E67/$D$12)+6.66), "Tank mixing equations do not apply"))</f>
        <v>10.199999999999999</v>
      </c>
      <c r="L67" s="48">
        <f t="shared" si="5"/>
        <v>0.30788477588663415</v>
      </c>
      <c r="M67" s="48">
        <f>IF(ISERROR(H47-H46),"n/a",IF(ISBLANK(E46), H46-H45,H47-H46))</f>
        <v>0.2930555555576575</v>
      </c>
      <c r="N67" s="65">
        <f>IF(ISERROR(H47-H46),"n/a",IF(ISBLANK(E46), H47-H46,H46-H45))</f>
        <v>0.20902777777519077</v>
      </c>
      <c r="O67" s="94"/>
      <c r="Q67" s="481"/>
      <c r="R67" s="481"/>
      <c r="S67" s="481"/>
      <c r="T67" s="481"/>
    </row>
    <row r="68" spans="1:20" ht="13" x14ac:dyDescent="0.3">
      <c r="B68" s="92"/>
      <c r="C68" s="8"/>
      <c r="D68" s="25"/>
      <c r="E68" s="26"/>
      <c r="F68" s="26"/>
      <c r="G68" s="26"/>
      <c r="H68" s="26"/>
      <c r="I68" s="27"/>
      <c r="J68" s="27"/>
      <c r="K68" s="27"/>
      <c r="L68" s="8"/>
      <c r="M68" s="98"/>
      <c r="N68" s="8"/>
      <c r="O68" s="94"/>
      <c r="Q68" s="481"/>
      <c r="R68" s="481"/>
      <c r="S68" s="481"/>
      <c r="T68" s="481"/>
    </row>
    <row r="69" spans="1:20" ht="13.5" thickBot="1" x14ac:dyDescent="0.35">
      <c r="A69" s="94"/>
      <c r="B69" s="92"/>
      <c r="C69" s="99" t="s">
        <v>40</v>
      </c>
      <c r="D69" s="8"/>
      <c r="E69" s="8"/>
      <c r="F69" s="8"/>
      <c r="G69" s="27"/>
      <c r="H69" s="366"/>
      <c r="I69" s="366" t="s">
        <v>18</v>
      </c>
      <c r="J69" s="366"/>
      <c r="K69" s="366"/>
      <c r="L69" s="100"/>
      <c r="M69" s="98"/>
      <c r="N69" s="27"/>
      <c r="O69" s="94"/>
      <c r="Q69" s="481"/>
      <c r="R69" s="481"/>
      <c r="S69" s="481"/>
      <c r="T69" s="481"/>
    </row>
    <row r="70" spans="1:20" ht="13" x14ac:dyDescent="0.3">
      <c r="B70" s="92"/>
      <c r="C70" s="57" t="s">
        <v>39</v>
      </c>
      <c r="D70" s="58"/>
      <c r="E70" s="61">
        <f>SUM(G53:G67)/COUNTIF(G53:G67,"&gt;0")</f>
        <v>2.1542400000000007E-2</v>
      </c>
      <c r="F70" s="52" t="s">
        <v>4</v>
      </c>
      <c r="G70" s="27"/>
      <c r="H70" s="7" t="str">
        <f>IF(D8="y","Avg Vol at Start of Fill","Avg Min Water Level")</f>
        <v>Avg Min Water Level</v>
      </c>
      <c r="I70" s="38"/>
      <c r="J70" s="35">
        <f>IF('Tank Summary'!K16="n","",SUM(D53:D67)/SUM(B53:B67))</f>
        <v>16.786666666666669</v>
      </c>
      <c r="K70" s="15" t="str">
        <f>IF(D8="y","gal","ft")</f>
        <v>ft</v>
      </c>
      <c r="L70" s="8"/>
      <c r="M70" s="8"/>
      <c r="N70" s="98"/>
      <c r="O70" s="94"/>
      <c r="Q70" s="481"/>
      <c r="R70" s="481"/>
      <c r="S70" s="481"/>
      <c r="T70" s="481"/>
    </row>
    <row r="71" spans="1:20" ht="13" x14ac:dyDescent="0.3">
      <c r="B71" s="92"/>
      <c r="C71" s="4" t="s">
        <v>43</v>
      </c>
      <c r="D71" s="55"/>
      <c r="E71" s="2">
        <f>SUM(H53:H67)/COUNTIF(H53:H67,"&gt;0")</f>
        <v>2.1558428571428579E-2</v>
      </c>
      <c r="F71" s="5" t="s">
        <v>5</v>
      </c>
      <c r="G71" s="8"/>
      <c r="H71" s="39" t="s">
        <v>55</v>
      </c>
      <c r="I71" s="37"/>
      <c r="J71" s="36">
        <f>IF('Tank Summary'!K16="n","",AVERAGE(J53:J67))</f>
        <v>0.11445312483328424</v>
      </c>
      <c r="K71" s="16"/>
      <c r="L71" s="8"/>
      <c r="M71" s="8"/>
      <c r="N71" s="8"/>
      <c r="O71" s="94"/>
    </row>
    <row r="72" spans="1:20" ht="13" x14ac:dyDescent="0.3">
      <c r="B72" s="92"/>
      <c r="C72" s="39" t="s">
        <v>36</v>
      </c>
      <c r="D72" s="63"/>
      <c r="E72" s="130">
        <f>AVERAGE(M53:M67)</f>
        <v>0.27495039682565092</v>
      </c>
      <c r="F72" s="16" t="s">
        <v>2</v>
      </c>
      <c r="G72" s="8"/>
      <c r="H72" s="39" t="s">
        <v>56</v>
      </c>
      <c r="I72" s="37"/>
      <c r="J72" s="36">
        <f>IF('Tank Summary'!K16="n","",AVERAGE(L53:L67))</f>
        <v>0.30799565135578516</v>
      </c>
      <c r="K72" s="16"/>
      <c r="L72" s="8"/>
      <c r="M72" s="8"/>
      <c r="N72" s="8"/>
      <c r="O72" s="94"/>
    </row>
    <row r="73" spans="1:20" ht="13" x14ac:dyDescent="0.3">
      <c r="B73" s="92"/>
      <c r="C73" s="39" t="s">
        <v>37</v>
      </c>
      <c r="D73" s="63"/>
      <c r="E73" s="131">
        <f>AVERAGE(N53:N67)</f>
        <v>0.22314814814793257</v>
      </c>
      <c r="F73" s="62" t="s">
        <v>2</v>
      </c>
      <c r="G73" s="8"/>
      <c r="H73" s="39" t="str">
        <f>IF(D8="y","Avg Measured Vol Change","Avg Measured Water Level Change")</f>
        <v>Avg Measured Water Level Change</v>
      </c>
      <c r="I73" s="37"/>
      <c r="J73" s="83">
        <f>IF('Tank Summary'!K16="n","",(SUM(E53:E67)/SUM(B53:B67))-J70)</f>
        <v>1.9199999999999982</v>
      </c>
      <c r="K73" s="16" t="str">
        <f>IF(D8="y","gal","ft")</f>
        <v>ft</v>
      </c>
      <c r="L73" s="8"/>
      <c r="M73" s="8"/>
      <c r="N73" s="8"/>
      <c r="O73" s="94"/>
    </row>
    <row r="74" spans="1:20" ht="24.75" customHeight="1" x14ac:dyDescent="0.3">
      <c r="B74" s="92"/>
      <c r="C74" s="39" t="s">
        <v>28</v>
      </c>
      <c r="D74" s="63"/>
      <c r="E74" s="34">
        <f>E70*10^6/(E72*24*60)</f>
        <v>54.40981417999663</v>
      </c>
      <c r="F74" s="41" t="s">
        <v>26</v>
      </c>
      <c r="G74" s="8"/>
      <c r="H74" s="505" t="str">
        <f>IF(D8="y","Desired Vol Change Needed for Good Mixing","Desired Water Level Change Needed for Good Mixing")</f>
        <v>Desired Water Level Change Needed for Good Mixing</v>
      </c>
      <c r="I74" s="506"/>
      <c r="J74" s="45">
        <f>IF('Tank Summary'!K16="n","",$J$70*J72)</f>
        <v>5.1702203340924475</v>
      </c>
      <c r="K74" s="43" t="str">
        <f>IF(D8="y","gal","ft")</f>
        <v>ft</v>
      </c>
      <c r="L74" s="8"/>
      <c r="M74" s="8"/>
      <c r="N74" s="8"/>
      <c r="O74" s="94"/>
    </row>
    <row r="75" spans="1:20" ht="24.75" customHeight="1" x14ac:dyDescent="0.3">
      <c r="B75" s="92"/>
      <c r="C75" s="39" t="s">
        <v>29</v>
      </c>
      <c r="D75" s="63"/>
      <c r="E75" s="34">
        <f>E71*10^6/(E73*24*60)</f>
        <v>67.090545346834261</v>
      </c>
      <c r="F75" s="41" t="s">
        <v>26</v>
      </c>
      <c r="G75" s="8"/>
      <c r="H75" s="39" t="s">
        <v>57</v>
      </c>
      <c r="I75" s="432"/>
      <c r="J75" s="160">
        <f>IF('Tank Summary'!K16="n","",J73/J74)</f>
        <v>0.37135748109988903</v>
      </c>
      <c r="K75" s="5"/>
      <c r="L75" s="8"/>
      <c r="M75" s="8"/>
      <c r="N75" s="8"/>
      <c r="O75" s="94"/>
    </row>
    <row r="76" spans="1:20" ht="27" customHeight="1" thickBot="1" x14ac:dyDescent="0.35">
      <c r="B76" s="92"/>
      <c r="C76" s="59" t="s">
        <v>38</v>
      </c>
      <c r="D76" s="60"/>
      <c r="E76" s="64">
        <f>E72+E73</f>
        <v>0.49809854497358352</v>
      </c>
      <c r="F76" s="24" t="s">
        <v>2</v>
      </c>
      <c r="G76" s="8"/>
      <c r="H76" s="42" t="s">
        <v>54</v>
      </c>
      <c r="I76" s="431"/>
      <c r="J76" s="44">
        <f>IF('Tank Summary'!K16="n","",(((((SUM(F53:F67)/SUM(B53:B67))*10^6/7.48)^(1/3))*$J$71)/9)*12)</f>
        <v>4.4728565112378265</v>
      </c>
      <c r="K76" s="3" t="s">
        <v>31</v>
      </c>
      <c r="L76" s="8"/>
      <c r="M76" s="8"/>
      <c r="N76" s="8"/>
      <c r="O76" s="94"/>
    </row>
    <row r="77" spans="1:20" ht="14.25" customHeight="1" x14ac:dyDescent="0.3">
      <c r="B77" s="92"/>
      <c r="C77" s="39" t="s">
        <v>53</v>
      </c>
      <c r="D77" s="56"/>
      <c r="E77" s="36">
        <f>E70/E76</f>
        <v>4.3249273095432354E-2</v>
      </c>
      <c r="F77" s="5" t="s">
        <v>3</v>
      </c>
      <c r="G77" s="8"/>
      <c r="H77" s="8"/>
      <c r="I77" s="507" t="str">
        <f>IF('Tank Summary'!K26="no","The tank mixing equations are not applicable.",IF(J73&lt;J74,"Mixing is at an undesirable level, use Mixing Analysis (Section II) to determine strategies that will increase mixing.","Mixing is at a desired level."))</f>
        <v>Mixing is at an undesirable level, use Mixing Analysis (Section II) to determine strategies that will increase mixing.</v>
      </c>
      <c r="J77" s="507"/>
      <c r="K77" s="507"/>
      <c r="L77" s="508"/>
      <c r="M77" s="8"/>
      <c r="N77" s="8"/>
      <c r="O77" s="94"/>
    </row>
    <row r="78" spans="1:20" ht="13" x14ac:dyDescent="0.3">
      <c r="B78" s="92"/>
      <c r="C78" s="39" t="s">
        <v>44</v>
      </c>
      <c r="D78" s="56"/>
      <c r="E78" s="36">
        <f>AVERAGE(I53:I67)</f>
        <v>0.19911759999999998</v>
      </c>
      <c r="F78" s="5" t="s">
        <v>5</v>
      </c>
      <c r="G78" s="8"/>
      <c r="H78" s="8"/>
      <c r="I78" s="508"/>
      <c r="J78" s="508"/>
      <c r="K78" s="508"/>
      <c r="L78" s="508"/>
      <c r="M78" s="8"/>
      <c r="N78" s="8"/>
      <c r="O78" s="94"/>
    </row>
    <row r="79" spans="1:20" ht="13.5" thickBot="1" x14ac:dyDescent="0.35">
      <c r="B79" s="92"/>
      <c r="C79" s="42" t="s">
        <v>8</v>
      </c>
      <c r="D79" s="40"/>
      <c r="E79" s="54">
        <f>E78/E77</f>
        <v>4.603952523332218</v>
      </c>
      <c r="F79" s="6" t="s">
        <v>2</v>
      </c>
      <c r="G79" s="8"/>
      <c r="H79" s="8"/>
      <c r="I79" s="508"/>
      <c r="J79" s="508"/>
      <c r="K79" s="508"/>
      <c r="L79" s="508"/>
      <c r="M79" s="8"/>
      <c r="N79" s="8"/>
      <c r="O79" s="94"/>
    </row>
    <row r="80" spans="1:20" ht="12.75" customHeight="1" x14ac:dyDescent="0.3">
      <c r="B80" s="92"/>
      <c r="C80" s="93"/>
      <c r="D80" s="503" t="str">
        <f>IF(E79&gt;5, "Turnover time is at an undesirable level, use Turnover Time Analysis (Step 2) to determine operational strategies that will reduce turnover time.","Turnover Time is at a desired level.")</f>
        <v>Turnover Time is at a desired level.</v>
      </c>
      <c r="E80" s="503"/>
      <c r="F80" s="503"/>
      <c r="G80" s="8"/>
      <c r="H80" s="126"/>
      <c r="I80" s="508"/>
      <c r="J80" s="508"/>
      <c r="K80" s="508"/>
      <c r="L80" s="508"/>
      <c r="M80" s="8"/>
      <c r="N80" s="8"/>
      <c r="O80" s="94"/>
    </row>
    <row r="81" spans="2:15" ht="11.25" customHeight="1" x14ac:dyDescent="0.3">
      <c r="B81" s="92"/>
      <c r="C81" s="8"/>
      <c r="D81" s="504"/>
      <c r="E81" s="504"/>
      <c r="F81" s="504"/>
      <c r="G81" s="8"/>
      <c r="H81" s="126"/>
      <c r="I81" s="82"/>
      <c r="J81" s="82"/>
      <c r="K81" s="82"/>
      <c r="L81" s="82"/>
      <c r="M81" s="8"/>
      <c r="N81" s="8"/>
      <c r="O81" s="94"/>
    </row>
    <row r="82" spans="2:15" ht="12.75" customHeight="1" x14ac:dyDescent="0.25">
      <c r="B82" s="92"/>
      <c r="C82" s="8"/>
      <c r="D82" s="504"/>
      <c r="E82" s="504"/>
      <c r="F82" s="504"/>
      <c r="G82" s="8"/>
      <c r="H82" s="8"/>
      <c r="I82" s="8"/>
      <c r="J82" s="29"/>
      <c r="K82" s="29"/>
      <c r="L82" s="8"/>
      <c r="M82" s="8"/>
      <c r="N82" s="8"/>
      <c r="O82" s="94"/>
    </row>
    <row r="83" spans="2:15" ht="16.5" customHeight="1" x14ac:dyDescent="0.25">
      <c r="B83" s="92"/>
      <c r="C83" s="8"/>
      <c r="D83" s="504"/>
      <c r="E83" s="504"/>
      <c r="F83" s="504"/>
      <c r="G83" s="8"/>
      <c r="H83" s="8"/>
      <c r="I83" s="8"/>
      <c r="J83" s="29"/>
      <c r="K83" s="29"/>
      <c r="L83" s="8"/>
      <c r="M83" s="8"/>
      <c r="N83" s="8"/>
      <c r="O83" s="94"/>
    </row>
    <row r="84" spans="2:15" ht="13" thickBot="1" x14ac:dyDescent="0.3">
      <c r="B84" s="101"/>
      <c r="C84" s="102"/>
      <c r="D84" s="102"/>
      <c r="E84" s="102"/>
      <c r="F84" s="102"/>
      <c r="G84" s="102"/>
      <c r="H84" s="102"/>
      <c r="I84" s="102"/>
      <c r="J84" s="102"/>
      <c r="K84" s="102"/>
      <c r="L84" s="102"/>
      <c r="M84" s="102"/>
      <c r="N84" s="102"/>
      <c r="O84" s="103"/>
    </row>
    <row r="85" spans="2:15" ht="18.5" thickBot="1" x14ac:dyDescent="0.45">
      <c r="B85" s="116" t="s">
        <v>188</v>
      </c>
      <c r="C85" s="111"/>
      <c r="D85" s="111"/>
      <c r="E85" s="120"/>
      <c r="F85" s="121"/>
      <c r="G85" s="111"/>
      <c r="H85" s="111"/>
      <c r="I85" s="111"/>
      <c r="J85" s="111"/>
      <c r="K85" s="111"/>
      <c r="L85" s="118"/>
      <c r="M85" s="118"/>
      <c r="N85" s="118"/>
      <c r="O85" s="119"/>
    </row>
    <row r="86" spans="2:15" x14ac:dyDescent="0.25">
      <c r="B86" s="92"/>
      <c r="C86" s="29"/>
      <c r="D86" s="29"/>
      <c r="E86" s="29"/>
      <c r="F86" s="29"/>
      <c r="G86" s="29"/>
      <c r="H86" s="29"/>
      <c r="I86" s="29"/>
      <c r="J86" s="29"/>
      <c r="K86" s="29"/>
      <c r="L86" s="8"/>
      <c r="M86" s="8"/>
      <c r="N86" s="8"/>
      <c r="O86" s="94"/>
    </row>
    <row r="87" spans="2:15" ht="13" x14ac:dyDescent="0.3">
      <c r="B87" s="92"/>
      <c r="C87" s="95" t="s">
        <v>65</v>
      </c>
      <c r="D87" s="29"/>
      <c r="E87" s="29"/>
      <c r="F87" s="29"/>
      <c r="G87" s="29"/>
      <c r="H87" s="29"/>
      <c r="I87" s="29"/>
      <c r="J87" s="29"/>
      <c r="K87" s="29"/>
      <c r="L87" s="8"/>
      <c r="M87" s="8"/>
      <c r="N87" s="8"/>
      <c r="O87" s="94"/>
    </row>
    <row r="88" spans="2:15" ht="13" x14ac:dyDescent="0.3">
      <c r="B88" s="92"/>
      <c r="C88" s="95" t="s">
        <v>207</v>
      </c>
      <c r="D88" s="29"/>
      <c r="E88" s="29"/>
      <c r="F88" s="29"/>
      <c r="G88" s="29"/>
      <c r="H88" s="29"/>
      <c r="I88" s="29"/>
      <c r="J88" s="29"/>
      <c r="K88" s="29"/>
      <c r="L88" s="8"/>
      <c r="M88" s="8"/>
      <c r="N88" s="8"/>
      <c r="O88" s="94"/>
    </row>
    <row r="89" spans="2:15" ht="13" x14ac:dyDescent="0.3">
      <c r="B89" s="92"/>
      <c r="C89" s="95"/>
      <c r="D89" s="29"/>
      <c r="E89" s="29"/>
      <c r="F89" s="29"/>
      <c r="G89" s="29"/>
      <c r="H89" s="29"/>
      <c r="I89" s="29"/>
      <c r="J89" s="29"/>
      <c r="K89" s="29"/>
      <c r="L89" s="8"/>
      <c r="M89" s="8"/>
      <c r="N89" s="8"/>
      <c r="O89" s="94"/>
    </row>
    <row r="90" spans="2:15" ht="13" x14ac:dyDescent="0.3">
      <c r="B90" s="92"/>
      <c r="C90" s="95" t="s">
        <v>77</v>
      </c>
      <c r="D90" s="29"/>
      <c r="E90" s="29"/>
      <c r="F90" s="29"/>
      <c r="G90" s="29"/>
      <c r="H90" s="29"/>
      <c r="I90" s="29"/>
      <c r="J90" s="29"/>
      <c r="K90" s="29"/>
      <c r="L90" s="8"/>
      <c r="M90" s="8"/>
      <c r="N90" s="8"/>
      <c r="O90" s="94"/>
    </row>
    <row r="91" spans="2:15" ht="13" x14ac:dyDescent="0.3">
      <c r="B91" s="92"/>
      <c r="C91" s="344" t="s">
        <v>294</v>
      </c>
      <c r="D91" s="488"/>
      <c r="E91" s="488"/>
      <c r="F91" s="488"/>
      <c r="G91" s="488"/>
      <c r="H91" s="29"/>
      <c r="I91" s="29"/>
      <c r="J91" s="29"/>
      <c r="K91" s="29"/>
      <c r="L91" s="8"/>
      <c r="M91" s="8"/>
      <c r="N91" s="8"/>
      <c r="O91" s="94"/>
    </row>
    <row r="92" spans="2:15" ht="13" x14ac:dyDescent="0.3">
      <c r="B92" s="92"/>
      <c r="C92" s="95"/>
      <c r="D92" s="29"/>
      <c r="E92" s="29"/>
      <c r="F92" s="29"/>
      <c r="G92" s="29"/>
      <c r="H92" s="29"/>
      <c r="I92" s="29"/>
      <c r="J92" s="29"/>
      <c r="K92" s="29"/>
      <c r="L92" s="8"/>
      <c r="M92" s="8"/>
      <c r="N92" s="8"/>
      <c r="O92" s="94"/>
    </row>
    <row r="93" spans="2:15" ht="13" x14ac:dyDescent="0.3">
      <c r="B93" s="92"/>
      <c r="C93" s="95" t="s">
        <v>280</v>
      </c>
      <c r="D93" s="29"/>
      <c r="E93" s="29"/>
      <c r="F93" s="29"/>
      <c r="G93" s="29"/>
      <c r="H93" s="29"/>
      <c r="I93" s="29"/>
      <c r="J93" s="29"/>
      <c r="K93" s="29"/>
      <c r="L93" s="8"/>
      <c r="M93" s="8"/>
      <c r="N93" s="8"/>
      <c r="O93" s="94"/>
    </row>
    <row r="94" spans="2:15" ht="13" x14ac:dyDescent="0.3">
      <c r="B94" s="92"/>
      <c r="C94" s="95"/>
      <c r="D94" s="29"/>
      <c r="E94" s="29"/>
      <c r="F94" s="29"/>
      <c r="G94" s="29"/>
      <c r="H94" s="29"/>
      <c r="I94" s="29"/>
      <c r="J94" s="29"/>
      <c r="K94" s="29"/>
      <c r="L94" s="8"/>
      <c r="M94" s="8"/>
      <c r="N94" s="8"/>
      <c r="O94" s="94"/>
    </row>
    <row r="95" spans="2:15" ht="13" x14ac:dyDescent="0.3">
      <c r="B95" s="92"/>
      <c r="C95" s="29"/>
      <c r="D95" s="133" t="s">
        <v>27</v>
      </c>
      <c r="E95" s="81" t="s">
        <v>45</v>
      </c>
      <c r="F95" s="81" t="s">
        <v>46</v>
      </c>
      <c r="G95" s="81" t="s">
        <v>47</v>
      </c>
      <c r="H95" s="81" t="s">
        <v>48</v>
      </c>
      <c r="I95" s="81" t="s">
        <v>49</v>
      </c>
      <c r="J95" s="29"/>
      <c r="K95" s="29"/>
      <c r="L95" s="8"/>
      <c r="M95" s="8"/>
      <c r="N95" s="8"/>
      <c r="O95" s="94"/>
    </row>
    <row r="96" spans="2:15" ht="13" x14ac:dyDescent="0.3">
      <c r="B96" s="92"/>
      <c r="C96" s="122" t="str">
        <f>IF(OR($D$7="c",D7="h"), "Tank diameter", IF($D$7="r","Longest Sidewall Length",""))</f>
        <v>Longest Sidewall Length</v>
      </c>
      <c r="D96" s="31">
        <f>Example!D10</f>
        <v>50</v>
      </c>
      <c r="E96" s="66">
        <f>$D$96</f>
        <v>50</v>
      </c>
      <c r="F96" s="66">
        <f>$D$96</f>
        <v>50</v>
      </c>
      <c r="G96" s="66">
        <f>$D$96</f>
        <v>50</v>
      </c>
      <c r="H96" s="66">
        <f>$D$96</f>
        <v>50</v>
      </c>
      <c r="I96" s="66">
        <f>$D$96</f>
        <v>50</v>
      </c>
      <c r="J96" s="95" t="str">
        <f>IF(D8="y","","ft")</f>
        <v>ft</v>
      </c>
      <c r="K96" s="95"/>
      <c r="L96" s="8"/>
      <c r="M96" s="8"/>
      <c r="N96" s="8"/>
      <c r="O96" s="94"/>
    </row>
    <row r="97" spans="2:15" ht="13" x14ac:dyDescent="0.3">
      <c r="B97" s="92"/>
      <c r="C97" s="95" t="str">
        <f>IF(OR($D$7="c",D7="h"),"",IF($D$7="r","Shortest Sidewall Length",""))</f>
        <v>Shortest Sidewall Length</v>
      </c>
      <c r="D97" s="33">
        <f>Example!D11</f>
        <v>30</v>
      </c>
      <c r="E97" s="66">
        <f>$D$97</f>
        <v>30</v>
      </c>
      <c r="F97" s="66">
        <f>$D$97</f>
        <v>30</v>
      </c>
      <c r="G97" s="66">
        <f>$D$97</f>
        <v>30</v>
      </c>
      <c r="H97" s="66">
        <f>$D$97</f>
        <v>30</v>
      </c>
      <c r="I97" s="66">
        <f>$D$97</f>
        <v>30</v>
      </c>
      <c r="J97" s="95" t="str">
        <f>IF(D8="y","","ft")</f>
        <v>ft</v>
      </c>
      <c r="K97" s="95"/>
      <c r="L97" s="8"/>
      <c r="M97" s="8"/>
      <c r="N97" s="8"/>
      <c r="O97" s="94"/>
    </row>
    <row r="98" spans="2:15" ht="13" x14ac:dyDescent="0.3">
      <c r="B98" s="92"/>
      <c r="C98" s="346" t="s">
        <v>30</v>
      </c>
      <c r="D98" s="124">
        <f>Example!D13</f>
        <v>1</v>
      </c>
      <c r="E98" s="345">
        <v>1</v>
      </c>
      <c r="F98" s="345">
        <v>0.5</v>
      </c>
      <c r="G98" s="345">
        <v>0.5</v>
      </c>
      <c r="H98" s="345">
        <v>0.5</v>
      </c>
      <c r="I98" s="345">
        <v>0.75</v>
      </c>
      <c r="J98" s="95" t="s">
        <v>1</v>
      </c>
      <c r="K98" s="95"/>
      <c r="L98" s="8"/>
      <c r="M98" s="8"/>
      <c r="N98" s="8"/>
      <c r="O98" s="94"/>
    </row>
    <row r="99" spans="2:15" ht="13" x14ac:dyDescent="0.3">
      <c r="B99" s="92"/>
      <c r="C99" s="346" t="str">
        <f>IF(D8="y","Fraction Full (Max Level)","High/Max Level")</f>
        <v>High/Max Level</v>
      </c>
      <c r="D99" s="80">
        <f>IF(OR($D$7="c",$D$7="r",$D$7="h"),(SUM(E53:E67)/COUNTIF(E53:E67,"&gt;0")),IF($D$8="y",(SUM(E53:E67)/COUNTIF(E53:E67,"&gt;0"))/($D$6*10^6)))</f>
        <v>18.706666666666667</v>
      </c>
      <c r="E99" s="345">
        <v>18</v>
      </c>
      <c r="F99" s="345">
        <v>18</v>
      </c>
      <c r="G99" s="345">
        <v>17</v>
      </c>
      <c r="H99" s="345">
        <v>17</v>
      </c>
      <c r="I99" s="345">
        <v>17</v>
      </c>
      <c r="J99" s="95" t="str">
        <f>IF(D8="y","","ft")</f>
        <v>ft</v>
      </c>
      <c r="K99" s="95"/>
      <c r="L99" s="8"/>
      <c r="M99" s="8"/>
      <c r="N99" s="8"/>
      <c r="O99" s="94"/>
    </row>
    <row r="100" spans="2:15" ht="13" x14ac:dyDescent="0.3">
      <c r="B100" s="92"/>
      <c r="C100" s="346" t="str">
        <f>IF(D8="y","Fraction Full (Min Level)","Low/Min Level")</f>
        <v>Low/Min Level</v>
      </c>
      <c r="D100" s="80">
        <f>IF(OR($D$7="c",$D$7="r",$D$7="s",$D$7="h"),(SUM(D53:D67)/COUNTIF(D53:D67,"&gt;0")),IF($D$8="y",(SUM(D53:D67)/COUNTIF(D53:D67,"&gt;0"))/($D$6*10^6)))</f>
        <v>16.786666666666669</v>
      </c>
      <c r="E100" s="345">
        <v>15</v>
      </c>
      <c r="F100" s="345">
        <v>15</v>
      </c>
      <c r="G100" s="345">
        <v>15</v>
      </c>
      <c r="H100" s="345">
        <v>14</v>
      </c>
      <c r="I100" s="345">
        <v>14</v>
      </c>
      <c r="J100" s="95" t="str">
        <f>IF(D8="y","","ft")</f>
        <v>ft</v>
      </c>
      <c r="K100" s="95"/>
      <c r="L100" s="8"/>
      <c r="M100" s="8"/>
      <c r="N100" s="8"/>
      <c r="O100" s="94"/>
    </row>
    <row r="101" spans="2:15" ht="15.5" x14ac:dyDescent="0.35">
      <c r="B101" s="92"/>
      <c r="C101" s="125" t="str">
        <f>IF(OR(D7="c", D7="r",D7="h"),"H/D ratio","")</f>
        <v>H/D ratio</v>
      </c>
      <c r="D101" s="490">
        <f t="shared" ref="D101:I101" si="10">IF(OR($D$7="c", $D$7="r",$D$7="h"),D99/D96,"")</f>
        <v>0.37413333333333332</v>
      </c>
      <c r="E101" s="124">
        <f t="shared" si="10"/>
        <v>0.36</v>
      </c>
      <c r="F101" s="124">
        <f t="shared" si="10"/>
        <v>0.36</v>
      </c>
      <c r="G101" s="124">
        <f t="shared" si="10"/>
        <v>0.34</v>
      </c>
      <c r="H101" s="124">
        <f t="shared" si="10"/>
        <v>0.34</v>
      </c>
      <c r="I101" s="124">
        <f t="shared" si="10"/>
        <v>0.34</v>
      </c>
      <c r="J101" s="134"/>
      <c r="K101" s="148"/>
      <c r="L101" s="8"/>
      <c r="M101" s="8"/>
      <c r="N101" s="8"/>
      <c r="O101" s="94"/>
    </row>
    <row r="102" spans="2:15" ht="13" x14ac:dyDescent="0.3">
      <c r="B102" s="92"/>
      <c r="C102" s="123" t="str">
        <f>IF(D8="y","Actual Vol Change","Actual Level Change")</f>
        <v>Actual Level Change</v>
      </c>
      <c r="D102" s="124">
        <f>Example!J73</f>
        <v>1.9199999999999982</v>
      </c>
      <c r="E102" s="80">
        <f>IF(OR($D$7="c",$D$7="h",$D$7="r"),E99-E100,IF($D$8="y",($D$6*10^6)*(E99-E100),""))</f>
        <v>3</v>
      </c>
      <c r="F102" s="80">
        <f>IF(OR($D$7="c",$D$7="h",$D$7="r"),F99-F100,IF($D$8="y",($D$6*10^6)*(F99-F100),""))</f>
        <v>3</v>
      </c>
      <c r="G102" s="80">
        <f>IF(OR($D$7="c",$D$7="h",$D$7="r"),G99-G100,IF($D$8="y",($D$6*10^6)*(G99-G100),""))</f>
        <v>2</v>
      </c>
      <c r="H102" s="80">
        <f>IF(OR($D$7="c",$D$7="h",$D$7="r"),H99-H100,IF($D$8="y",($D$6*10^6)*(H99-H100),""))</f>
        <v>3</v>
      </c>
      <c r="I102" s="80">
        <f>IF(OR($D$7="c",$D$7="h",$D$7="r"),I99-I100,IF($D$8="y",($D$6*10^6)*(I99-I100),""))</f>
        <v>3</v>
      </c>
      <c r="J102" s="95" t="str">
        <f>IF(OR(D7="c",D7="r"),"ft",IF(AND(D7="n",D8="y"),"gal",""))</f>
        <v>ft</v>
      </c>
      <c r="K102" s="95"/>
      <c r="L102" s="8"/>
      <c r="M102" s="8"/>
      <c r="N102" s="8"/>
      <c r="O102" s="94"/>
    </row>
    <row r="103" spans="2:15" ht="13" x14ac:dyDescent="0.3">
      <c r="B103" s="92"/>
      <c r="C103" s="123" t="s">
        <v>94</v>
      </c>
      <c r="D103" s="494">
        <f>IF('Tank Summary'!$K$16="y",IF((D99/$D$10)&lt;=1,10.2,(3.58*(D99/$D$10)+6.66)),"Tank mixing equations do not apply")</f>
        <v>10.199999999999999</v>
      </c>
      <c r="E103" s="494">
        <f>IF('Tank Summary'!$K$16="y",IF((E99/$D$10)&lt;=1,10.2,(3.58*(E99/$D$10)+6.66)),"Tank mixing equations do not apply")</f>
        <v>10.199999999999999</v>
      </c>
      <c r="F103" s="494">
        <f>IF('Tank Summary'!$K$16="y",IF((F99/$D$10)&lt;=1,10.2,(3.58*(F99/$D$10)+6.66)),"Tank mixing equations do not apply")</f>
        <v>10.199999999999999</v>
      </c>
      <c r="G103" s="494">
        <f>IF('Tank Summary'!$K$16="y",IF((G99/$D$10)&lt;=1,10.2,(3.58*(G99/$D$10)+6.66)),"Tank mixing equations do not apply")</f>
        <v>10.199999999999999</v>
      </c>
      <c r="H103" s="494">
        <f>IF('Tank Summary'!$K$16="y",IF((H99/$D$10)&lt;=1,10.2,(3.58*(H99/$D$10)+6.66)),"Tank mixing equations do not apply")</f>
        <v>10.199999999999999</v>
      </c>
      <c r="I103" s="494">
        <f>IF('Tank Summary'!$K$16="y",IF((I99/$D$10)&lt;=1,10.2,(3.58*(I99/$D$10)+6.66)),"Tank mixing equations do not apply")</f>
        <v>10.199999999999999</v>
      </c>
      <c r="J103" s="95"/>
      <c r="K103" s="95"/>
      <c r="L103" s="8"/>
      <c r="M103" s="8"/>
      <c r="N103" s="8"/>
      <c r="O103" s="94"/>
    </row>
    <row r="104" spans="2:15" ht="26" x14ac:dyDescent="0.3">
      <c r="B104" s="92"/>
      <c r="C104" s="123" t="str">
        <f>IF(D8="y","Desired Vol Change Needed for Good Mixing","Desired Level Change Needed for Good Mixing")</f>
        <v>Desired Level Change Needed for Good Mixing</v>
      </c>
      <c r="D104" s="124">
        <f>Example!J74</f>
        <v>5.1702203340924475</v>
      </c>
      <c r="E104" s="80">
        <f>IF(OR($D$7="c",$D$7="h"),(((E103/1.13)*E98)/((E100*PI()*(E96/2)^2)^(1/3)))*E100,IF($D$7="r",(((E103/1.13)*E98)/((E100*E96*E97)^(1/3)))*E100,IF($D$8="y",(((E103/1.13)*E98)/(((E100*$D$6*10^6)/7.480519)^(1/3)))*(E100*$D$6*10^6),"")))</f>
        <v>4.7960696485232903</v>
      </c>
      <c r="F104" s="80">
        <f>IF(OR($D$7="c",$D$7="h"),(((F103/1.13)*F98)/((F100*PI()*(F96/2)^2)^(1/3)))*F100,IF($D$7="r",(((F103/1.13)*F98)/((F100*F96*F97)^(1/3)))*F100,IF($D$8="y",(((F103/1.13)*F98)/(((F100*$D$6*10^6)/7.480519)^(1/3)))*(F100*$D$6*10^6),"")))</f>
        <v>2.3980348242616452</v>
      </c>
      <c r="G104" s="80">
        <f>IF(OR($D$7="c",$D$7="h"),(((G103/1.13)*G98)/((G100*PI()*(G96/2)^2)^(1/3)))*G100,IF($D$7="r",(((G103/1.13)*G98)/((G100*G96*G97)^(1/3)))*G100,IF($D$8="y",(((G103/1.13)*G98)/(((G100*$D$6*10^6)/7.480519)^(1/3)))*(G100*$D$6*10^6),"")))</f>
        <v>2.3980348242616452</v>
      </c>
      <c r="H104" s="80">
        <f>IF(OR($D$7="c",$D$7="h"),(((H103/1.13)*H98)/((H100*PI()*(H96/2)^2)^(1/3)))*H100,IF($D$7="r",(((H103/1.13)*H98)/((H100*H96*H97)^(1/3)))*H100,IF($D$8="y",(((H103/1.13)*H98)/(((H100*$D$6*10^6)/7.480519)^(1/3)))*(H100*$D$6*10^6),"")))</f>
        <v>2.2902347679175965</v>
      </c>
      <c r="I104" s="80">
        <f>IF(OR($D$7="c",$D$7="h"),(((I103/1.13)*I98)/((I100*PI()*(I96/2)^2)^(1/3)))*I100,IF($D$7="r",(((I103/1.13)*I98)/((I100*I96*I97)^(1/3)))*I100,IF($D$8="y",(((I103/1.13)*I98)/(((I100*$D$6*10^6)/7.480519)^(1/3)))*(I100*$D$6*10^6),"")))</f>
        <v>3.435352151876395</v>
      </c>
      <c r="J104" s="95" t="str">
        <f>IF(OR(D7="c",D7="r"),"ft",IF(AND(D7="n",D8="y"),"gal",""))</f>
        <v>ft</v>
      </c>
      <c r="K104" s="95"/>
      <c r="L104" s="8"/>
      <c r="M104" s="8"/>
      <c r="N104" s="8"/>
      <c r="O104" s="94"/>
    </row>
    <row r="105" spans="2:15" ht="39" customHeight="1" x14ac:dyDescent="0.3">
      <c r="B105" s="92"/>
      <c r="C105" s="105" t="str">
        <f>IF(D8="y","","Pressure Drop After Change in Min Water Level")</f>
        <v>Pressure Drop After Change in Min Water Level</v>
      </c>
      <c r="D105" s="12"/>
      <c r="E105" s="12">
        <f>IF($D$8="y","",($D$100-E100)/2.31)</f>
        <v>0.77344877344877438</v>
      </c>
      <c r="F105" s="12">
        <f>IF($D$8="y","",($D$100-F100)/2.31)</f>
        <v>0.77344877344877438</v>
      </c>
      <c r="G105" s="12">
        <f>IF($D$8="y","",($D$100-G100)/2.31)</f>
        <v>0.77344877344877438</v>
      </c>
      <c r="H105" s="12">
        <f>IF($D$8="y","",($D$100-H100)/2.31)</f>
        <v>1.2063492063492072</v>
      </c>
      <c r="I105" s="12">
        <f>IF($D$8="y","",($D$100-I100)/2.31)</f>
        <v>1.2063492063492072</v>
      </c>
      <c r="J105" s="95" t="str">
        <f>IF(OR(D7="c",D7="r",D7="h"),"psi",IF(AND(D7="n",D8="y"),"",""))</f>
        <v>psi</v>
      </c>
      <c r="K105" s="95"/>
      <c r="L105" s="8"/>
      <c r="M105" s="8"/>
      <c r="N105" s="8"/>
      <c r="O105" s="94"/>
    </row>
    <row r="106" spans="2:15" ht="13" x14ac:dyDescent="0.3">
      <c r="B106" s="92"/>
      <c r="C106" s="123" t="s">
        <v>287</v>
      </c>
      <c r="D106" s="33">
        <f>Example!E74</f>
        <v>54.40981417999663</v>
      </c>
      <c r="E106" s="33">
        <f>D106</f>
        <v>54.40981417999663</v>
      </c>
      <c r="F106" s="33">
        <f>E106</f>
        <v>54.40981417999663</v>
      </c>
      <c r="G106" s="33">
        <f>F106</f>
        <v>54.40981417999663</v>
      </c>
      <c r="H106" s="159">
        <f>G106</f>
        <v>54.40981417999663</v>
      </c>
      <c r="I106" s="159">
        <f>H106</f>
        <v>54.40981417999663</v>
      </c>
      <c r="J106" s="95" t="s">
        <v>26</v>
      </c>
      <c r="K106" s="95"/>
      <c r="L106" s="8"/>
      <c r="M106" s="8"/>
      <c r="N106" s="8"/>
      <c r="O106" s="94"/>
    </row>
    <row r="107" spans="2:15" ht="26" x14ac:dyDescent="0.3">
      <c r="B107" s="92"/>
      <c r="C107" s="105" t="s">
        <v>286</v>
      </c>
      <c r="D107" s="33">
        <f>Example!E75</f>
        <v>67.090545346834261</v>
      </c>
      <c r="E107" s="33">
        <f>D107</f>
        <v>67.090545346834261</v>
      </c>
      <c r="F107" s="33">
        <f>D107</f>
        <v>67.090545346834261</v>
      </c>
      <c r="G107" s="33">
        <f>D107</f>
        <v>67.090545346834261</v>
      </c>
      <c r="H107" s="159">
        <f>D107</f>
        <v>67.090545346834261</v>
      </c>
      <c r="I107" s="159">
        <f>D107</f>
        <v>67.090545346834261</v>
      </c>
      <c r="J107" s="95" t="s">
        <v>26</v>
      </c>
      <c r="K107" s="95"/>
      <c r="L107" s="8"/>
      <c r="M107" s="8"/>
      <c r="N107" s="8"/>
      <c r="O107" s="94"/>
    </row>
    <row r="108" spans="2:15" ht="13" x14ac:dyDescent="0.3">
      <c r="B108" s="92"/>
      <c r="C108" s="123" t="s">
        <v>36</v>
      </c>
      <c r="D108" s="11">
        <f>Example!E72</f>
        <v>0.27495039682565092</v>
      </c>
      <c r="E108" s="11">
        <f>ROUND(IF(OR($D$7="c",$D$7="h"),(E99-E100)*PI()*((E96/2)^2)*7.480519/(E106*24*60),IF($D$7="r",(E99-E100)*E96*E97*7.480519/(E106*24*60),IF($D$8="y",((E99*$D$6*10^6)-(E100*$D$6*10^6))/(E106*24*60),""))),2)</f>
        <v>0.43</v>
      </c>
      <c r="F108" s="11">
        <f>ROUND(IF(OR($D$7="c",$D$7="h"),(F99-F100)*PI()*((F96/2)^2)*7.480519/(F106*24*60),IF($D$7="r",(F99-F100)*F96*F97*7.480519/(F106*24*60),IF($D$8="y",((F99*$D$6*10^6)-(F100*$D$6*10^6))/(F106*24*60),""))),2)</f>
        <v>0.43</v>
      </c>
      <c r="G108" s="11">
        <f>ROUND(IF(OR($D$7="c",$D$7="h"),(G99-G100)*PI()*((G96/2)^2)*7.480519/(G106*24*60),IF($D$7="r",(G99-G100)*G96*G97*7.480519/(G106*24*60),IF($D$8="y",((G99*$D$6*10^6)-(G100*$D$6*10^6))/(G106*24*60),""))),2)</f>
        <v>0.28999999999999998</v>
      </c>
      <c r="H108" s="11">
        <f>ROUND(IF(OR($D$7="c",$D$7="h"),(H99-H100)*PI()*((H96/2)^2)*7.480519/(H106*24*60),IF($D$7="r",(H99-H100)*H96*H97*7.480519/(H106*24*60),IF($D$8="y",((H99*$D$6*10^6)-(H100*$D$6*10^6))/(H106*24*60),""))),2)</f>
        <v>0.43</v>
      </c>
      <c r="I108" s="11">
        <f>ROUND(IF(OR($D$7="c",$D$7="h"),(I99-I100)*PI()*((I96/2)^2)*7.480519/(I106*24*60),IF($D$7="r",(I99-I100)*I96*I97*7.480519/(I106*24*60),IF($D$8="y",((I99*$D$6*10^6)-(I100*$D$6*10^6))/(I106*24*60),""))),2)</f>
        <v>0.43</v>
      </c>
      <c r="J108" s="95" t="s">
        <v>2</v>
      </c>
      <c r="K108" s="95"/>
      <c r="L108" s="8"/>
      <c r="M108" s="8"/>
      <c r="N108" s="8"/>
      <c r="O108" s="94"/>
    </row>
    <row r="109" spans="2:15" ht="13" x14ac:dyDescent="0.3">
      <c r="B109" s="92"/>
      <c r="C109" s="105" t="s">
        <v>37</v>
      </c>
      <c r="D109" s="11">
        <f>Example!E73</f>
        <v>0.22314814814793257</v>
      </c>
      <c r="E109" s="11">
        <f>ROUND(IF(OR($D$7="c",$D$7="h"),(E99-E100)*PI()*((E96/2)^2)*7.480519/(E107*24*60),IF($D$7="r",(E99-E100)*E96*E97*7.480519/(E107*24*60),IF($D$8="y",((E99*$D$6*10^6)-(E100*$D$6*10^6))/(E107*24*60),""))),2)</f>
        <v>0.35</v>
      </c>
      <c r="F109" s="11">
        <f>ROUND(IF(OR($D$7="c",$D$7="h"),(F99-F100)*PI()*((F96/2)^2)*7.480519/(F107*24*60),IF($D$7="r",(F99-F100)*F96*F97*7.480519/(F107*24*60),IF($D$8="y",((F99*$D$6*10^6)-(F100*$D$6*10^6))/(F107*24*60),""))),2)</f>
        <v>0.35</v>
      </c>
      <c r="G109" s="11">
        <f>ROUND(IF(OR($D$7="c",$D$7="h"),(G99-G100)*PI()*((G96/2)^2)*7.480519/(G107*24*60),IF($D$7="r",(G99-G100)*G96*G97*7.480519/(G107*24*60),IF($D$8="y",((G99*$D$6*10^6)-(G100*$D$6*10^6))/(G107*24*60),""))),2)</f>
        <v>0.23</v>
      </c>
      <c r="H109" s="11">
        <f>ROUND(IF(OR($D$7="c",$D$7="h"),(H99-H100)*PI()*((H96/2)^2)*7.480519/(H107*24*60),IF($D$7="r",(H99-H100)*H96*H97*7.480519/(H107*24*60),IF($D$8="y",((H99*$D$6*10^6)-(H100*$D$6*10^6))/(H107*24*60),""))),2)</f>
        <v>0.35</v>
      </c>
      <c r="I109" s="11">
        <f>ROUND(IF(OR($D$7="c",$D$7="h"),(I99-I100)*PI()*((I96/2)^2)*7.480519/(I107*24*60),IF($D$7="r",(I99-I100)*I96*I97*7.480519/(I107*24*60),IF($D$8="y",((I99*$D$6*10^6)-(I100*$D$6*10^6))/(I107*24*60),""))),2)</f>
        <v>0.35</v>
      </c>
      <c r="J109" s="95" t="s">
        <v>2</v>
      </c>
      <c r="K109" s="95"/>
      <c r="L109" s="8"/>
      <c r="M109" s="8"/>
      <c r="N109" s="8"/>
      <c r="O109" s="94"/>
    </row>
    <row r="110" spans="2:15" ht="26" x14ac:dyDescent="0.3">
      <c r="B110" s="92"/>
      <c r="C110" s="123" t="s">
        <v>288</v>
      </c>
      <c r="D110" s="11">
        <f>Example!E70</f>
        <v>2.1542400000000007E-2</v>
      </c>
      <c r="E110" s="11">
        <f>IF(OR($D$7="c",$D$7="h"),(E99-E100)*PI()*((E96/2)^2)*7.480519/10^6,IF($D$7="r",(E99-E100)*E96*E97*7.480519/10^6,IF($D$8="y",((E99*$D$6*10^6)-(E100*$D$6*10^6))/10^6,"")))</f>
        <v>3.3662335500000001E-2</v>
      </c>
      <c r="F110" s="11">
        <f>IF(OR($D$7="c",$D$7="h"),(F99-F100)*PI()*((F96/2)^2)*7.480519/10^6,IF($D$7="r",(F99-F100)*F96*F97*7.480519/10^6,IF($D$8="y",((F99*$D$6*10^6)-(F100*$D$6*10^6))/10^6,"")))</f>
        <v>3.3662335500000001E-2</v>
      </c>
      <c r="G110" s="11">
        <f>IF(OR($D$7="c",$D$7="h"),(G99-G100)*PI()*((G96/2)^2)*7.480519/10^6,IF($D$7="r",(G99-G100)*G96*G97*7.480519/10^6,IF($D$8="y",((G99*$D$6*10^6)-(G100*$D$6*10^6))/10^6,"")))</f>
        <v>2.2441557000000001E-2</v>
      </c>
      <c r="H110" s="11">
        <f>IF(OR($D$7="c",$D$7="h"),(H99-H100)*PI()*((H96/2)^2)*7.480519/10^6,IF($D$7="r",(H99-H100)*H96*H97*7.480519/10^6,IF($D$8="y",((H99*$D$6*10^6)-(H100*$D$6*10^6))/10^6,"")))</f>
        <v>3.3662335500000001E-2</v>
      </c>
      <c r="I110" s="11">
        <f>IF(OR($D$7="c",$D$7="h"),(I99-I100)*PI()*((I96/2)^2)*7.480519/10^6,IF($D$7="r",(I99-I100)*I96*I97*7.480519/10^6,IF($D$8="y",((I99*$D$6*10^6)-(I100*$D$6*10^6))/10^6,"")))</f>
        <v>3.3662335500000001E-2</v>
      </c>
      <c r="J110" s="95" t="s">
        <v>5</v>
      </c>
      <c r="K110" s="95"/>
      <c r="L110" s="8"/>
      <c r="M110" s="8"/>
      <c r="N110" s="8"/>
      <c r="O110" s="94"/>
    </row>
    <row r="111" spans="2:15" ht="13" x14ac:dyDescent="0.3">
      <c r="B111" s="92"/>
      <c r="C111" s="105" t="s">
        <v>52</v>
      </c>
      <c r="D111" s="11">
        <f>Example!E76</f>
        <v>0.49809854497358352</v>
      </c>
      <c r="E111" s="11">
        <f>E109+E108</f>
        <v>0.78</v>
      </c>
      <c r="F111" s="11">
        <f>F109+F108</f>
        <v>0.78</v>
      </c>
      <c r="G111" s="11">
        <f>G109+G108</f>
        <v>0.52</v>
      </c>
      <c r="H111" s="11">
        <f>H109+H108</f>
        <v>0.78</v>
      </c>
      <c r="I111" s="11">
        <f>I109+I108</f>
        <v>0.78</v>
      </c>
      <c r="J111" s="95" t="s">
        <v>2</v>
      </c>
      <c r="K111" s="95"/>
      <c r="L111" s="8"/>
      <c r="M111" s="8"/>
      <c r="N111" s="8"/>
      <c r="O111" s="94"/>
    </row>
    <row r="112" spans="2:15" ht="13" x14ac:dyDescent="0.3">
      <c r="B112" s="92"/>
      <c r="C112" s="123" t="s">
        <v>289</v>
      </c>
      <c r="D112" s="11">
        <f>Example!$E$77</f>
        <v>4.3249273095432354E-2</v>
      </c>
      <c r="E112" s="32">
        <f>E110/E111</f>
        <v>4.3156840384615383E-2</v>
      </c>
      <c r="F112" s="32">
        <f>F110/F111</f>
        <v>4.3156840384615383E-2</v>
      </c>
      <c r="G112" s="32">
        <f>G110/G111</f>
        <v>4.3156840384615383E-2</v>
      </c>
      <c r="H112" s="32">
        <f>H110/H111</f>
        <v>4.3156840384615383E-2</v>
      </c>
      <c r="I112" s="32">
        <f>I110/I111</f>
        <v>4.3156840384615383E-2</v>
      </c>
      <c r="J112" s="95" t="s">
        <v>3</v>
      </c>
      <c r="K112" s="95"/>
      <c r="L112" s="8"/>
      <c r="M112" s="8"/>
      <c r="N112" s="8"/>
      <c r="O112" s="94"/>
    </row>
    <row r="113" spans="2:15" ht="13" x14ac:dyDescent="0.3">
      <c r="B113" s="92"/>
      <c r="C113" s="105" t="s">
        <v>44</v>
      </c>
      <c r="D113" s="11">
        <f>Example!$E$78</f>
        <v>0.19911759999999998</v>
      </c>
      <c r="E113" s="32">
        <f>IF(OR($D$7="c",$D$7="h"),((E99+E100)/2)*PI()*((E96/2)^2)*7.480519/10^6,IF($D$7="r",((E99+E100)/2)*E96*E97*7.480519/10^6,IF($D$8="y",(((E99*$D$6*10^6)+(E100*$D$6*10^6))/2)/10^6,"")))</f>
        <v>0.18514284525000002</v>
      </c>
      <c r="F113" s="32">
        <f>IF(OR($D$7="c",$D$7="h"),((F99+F100)/2)*PI()*((F96/2)^2)*7.480519/10^6,IF($D$7="r",((F99+F100)/2)*F96*F97*7.480519/10^6,IF($D$8="y",(((F99*$D$6*10^6)+(F100*$D$6*10^6))/2)/10^6,"")))</f>
        <v>0.18514284525000002</v>
      </c>
      <c r="G113" s="32">
        <f>IF(OR($D$7="c",$D$7="h"),((G99+G100)/2)*PI()*((G96/2)^2)*7.480519/10^6,IF($D$7="r",((G99+G100)/2)*G96*G97*7.480519/10^6,IF($D$8="y",(((G99*$D$6*10^6)+(G100*$D$6*10^6))/2)/10^6,"")))</f>
        <v>0.17953245600000001</v>
      </c>
      <c r="H113" s="32">
        <f>IF(OR($D$7="c",$D$7="h"),((H99+H100)/2)*PI()*((H96/2)^2)*7.480519/10^6,IF($D$7="r",((H99+H100)/2)*H96*H97*7.480519/10^6,IF($D$8="y",(((H99*$D$6*10^6)+(H100*$D$6*10^6))/2)/10^6,"")))</f>
        <v>0.17392206674999999</v>
      </c>
      <c r="I113" s="32">
        <f>IF(OR($D$7="c",$D$7="h"),((I99+I100)/2)*PI()*((I96/2)^2)*7.480519/10^6,IF($D$7="r",((I99+I100)/2)*I96*I97*7.480519/10^6,IF($D$8="y",(((I99*$D$6*10^6)+(I100*$D$6*10^6))/2)/10^6,"")))</f>
        <v>0.17392206674999999</v>
      </c>
      <c r="J113" s="95" t="s">
        <v>5</v>
      </c>
      <c r="K113" s="95"/>
      <c r="L113" s="8"/>
      <c r="M113" s="8"/>
      <c r="N113" s="8"/>
      <c r="O113" s="94"/>
    </row>
    <row r="114" spans="2:15" ht="26" x14ac:dyDescent="0.3">
      <c r="B114" s="92"/>
      <c r="C114" s="137" t="s">
        <v>57</v>
      </c>
      <c r="D114" s="138">
        <f>Example!J75</f>
        <v>0.37135748109988903</v>
      </c>
      <c r="E114" s="139">
        <f>E102/E104</f>
        <v>0.62551218390327168</v>
      </c>
      <c r="F114" s="139">
        <f>F102/F104</f>
        <v>1.2510243678065434</v>
      </c>
      <c r="G114" s="139">
        <f>G102/G104</f>
        <v>0.83401624520436224</v>
      </c>
      <c r="H114" s="139">
        <f>H102/H104</f>
        <v>1.3099093778616242</v>
      </c>
      <c r="I114" s="139">
        <f>I102/I104</f>
        <v>0.87327291857441602</v>
      </c>
      <c r="J114" s="95"/>
      <c r="K114" s="95"/>
      <c r="L114" s="8"/>
      <c r="M114" s="8"/>
      <c r="N114" s="8"/>
      <c r="O114" s="94"/>
    </row>
    <row r="115" spans="2:15" ht="13" x14ac:dyDescent="0.3">
      <c r="B115" s="92"/>
      <c r="C115" s="137" t="s">
        <v>8</v>
      </c>
      <c r="D115" s="140">
        <f>Example!$E$79</f>
        <v>4.603952523332218</v>
      </c>
      <c r="E115" s="140">
        <f>E113/E112</f>
        <v>4.2900000000000009</v>
      </c>
      <c r="F115" s="140">
        <f>F113/F112</f>
        <v>4.2900000000000009</v>
      </c>
      <c r="G115" s="140">
        <f>G113/G112</f>
        <v>4.16</v>
      </c>
      <c r="H115" s="140">
        <f>H113/H112</f>
        <v>4.03</v>
      </c>
      <c r="I115" s="140">
        <f>I113/I112</f>
        <v>4.03</v>
      </c>
      <c r="J115" s="95" t="s">
        <v>2</v>
      </c>
      <c r="K115" s="95"/>
      <c r="L115" s="8"/>
      <c r="M115" s="8"/>
      <c r="N115" s="8"/>
      <c r="O115" s="94"/>
    </row>
    <row r="116" spans="2:15" ht="13.5" thickBot="1" x14ac:dyDescent="0.35">
      <c r="B116" s="101"/>
      <c r="C116" s="102"/>
      <c r="D116" s="102"/>
      <c r="E116" s="102"/>
      <c r="F116" s="102"/>
      <c r="G116" s="106"/>
      <c r="H116" s="106"/>
      <c r="I116" s="107"/>
      <c r="J116" s="102"/>
      <c r="K116" s="102"/>
      <c r="L116" s="102"/>
      <c r="M116" s="102"/>
      <c r="N116" s="102"/>
      <c r="O116" s="103"/>
    </row>
    <row r="117" spans="2:15" ht="18.5" hidden="1" thickBot="1" x14ac:dyDescent="0.45">
      <c r="B117" s="116" t="s">
        <v>191</v>
      </c>
      <c r="C117" s="111"/>
      <c r="D117" s="120"/>
      <c r="E117" s="111"/>
      <c r="F117" s="111"/>
      <c r="G117" s="111"/>
      <c r="H117" s="111"/>
      <c r="I117" s="111"/>
      <c r="J117" s="111"/>
      <c r="K117" s="111"/>
      <c r="L117" s="118"/>
      <c r="M117" s="118"/>
      <c r="N117" s="118"/>
      <c r="O117" s="119"/>
    </row>
    <row r="118" spans="2:15" hidden="1" x14ac:dyDescent="0.25">
      <c r="B118" s="149"/>
      <c r="C118" s="104"/>
      <c r="D118" s="104"/>
      <c r="E118" s="104"/>
      <c r="F118" s="104"/>
      <c r="G118" s="104"/>
      <c r="H118" s="104"/>
      <c r="I118" s="104"/>
      <c r="J118" s="104"/>
      <c r="K118" s="104"/>
      <c r="L118" s="90"/>
      <c r="M118" s="90"/>
      <c r="N118" s="90"/>
      <c r="O118" s="91"/>
    </row>
    <row r="119" spans="2:15" ht="13" hidden="1" x14ac:dyDescent="0.3">
      <c r="B119" s="92"/>
      <c r="C119" s="95" t="s">
        <v>86</v>
      </c>
      <c r="D119" s="29"/>
      <c r="E119" s="29"/>
      <c r="F119" s="29"/>
      <c r="G119" s="29"/>
      <c r="H119" s="29"/>
      <c r="I119" s="29"/>
      <c r="J119" s="29"/>
      <c r="K119" s="29"/>
      <c r="L119" s="8"/>
      <c r="M119" s="8"/>
      <c r="N119" s="8"/>
      <c r="O119" s="94"/>
    </row>
    <row r="120" spans="2:15" ht="13" hidden="1" x14ac:dyDescent="0.3">
      <c r="B120" s="92"/>
      <c r="C120" s="95" t="s">
        <v>88</v>
      </c>
      <c r="D120" s="29"/>
      <c r="E120" s="29"/>
      <c r="F120" s="29"/>
      <c r="G120" s="29"/>
      <c r="H120" s="29"/>
      <c r="I120" s="29"/>
      <c r="J120" s="29"/>
      <c r="K120" s="29"/>
      <c r="L120" s="8"/>
      <c r="M120" s="8"/>
      <c r="N120" s="8"/>
      <c r="O120" s="94"/>
    </row>
    <row r="121" spans="2:15" ht="13" hidden="1" x14ac:dyDescent="0.3">
      <c r="B121" s="92"/>
      <c r="C121" s="95" t="s">
        <v>89</v>
      </c>
      <c r="D121" s="29"/>
      <c r="E121" s="29"/>
      <c r="F121" s="29"/>
      <c r="G121" s="29"/>
      <c r="H121" s="29"/>
      <c r="I121" s="29"/>
      <c r="J121" s="29"/>
      <c r="K121" s="29"/>
      <c r="L121" s="8"/>
      <c r="M121" s="8"/>
      <c r="N121" s="8"/>
      <c r="O121" s="94"/>
    </row>
    <row r="122" spans="2:15" ht="13" hidden="1" x14ac:dyDescent="0.3">
      <c r="B122" s="92"/>
      <c r="C122" s="95" t="s">
        <v>90</v>
      </c>
      <c r="D122" s="29"/>
      <c r="E122" s="29"/>
      <c r="F122" s="29"/>
      <c r="G122" s="29"/>
      <c r="H122" s="29"/>
      <c r="I122" s="29"/>
      <c r="J122" s="29"/>
      <c r="K122" s="29"/>
      <c r="L122" s="8"/>
      <c r="M122" s="8"/>
      <c r="N122" s="8"/>
      <c r="O122" s="94"/>
    </row>
    <row r="123" spans="2:15" ht="13" hidden="1" x14ac:dyDescent="0.3">
      <c r="B123" s="92"/>
      <c r="C123" s="113"/>
      <c r="D123" s="29"/>
      <c r="E123" s="29"/>
      <c r="F123" s="29"/>
      <c r="G123" s="29"/>
      <c r="H123" s="29"/>
      <c r="I123" s="29"/>
      <c r="J123" s="29"/>
      <c r="K123" s="29"/>
      <c r="L123" s="8"/>
      <c r="M123" s="8"/>
      <c r="N123" s="8"/>
      <c r="O123" s="94"/>
    </row>
    <row r="124" spans="2:15" ht="39" hidden="1" x14ac:dyDescent="0.3">
      <c r="B124" s="92"/>
      <c r="C124" s="29"/>
      <c r="D124" s="133" t="s">
        <v>79</v>
      </c>
      <c r="E124" s="81" t="s">
        <v>45</v>
      </c>
      <c r="F124" s="81" t="s">
        <v>46</v>
      </c>
      <c r="G124" s="81" t="s">
        <v>47</v>
      </c>
      <c r="H124" s="81" t="s">
        <v>48</v>
      </c>
      <c r="I124" s="81" t="s">
        <v>49</v>
      </c>
      <c r="J124" s="29"/>
      <c r="K124" s="29"/>
      <c r="L124" s="8"/>
      <c r="M124" s="8"/>
      <c r="N124" s="8"/>
      <c r="O124" s="94"/>
    </row>
    <row r="125" spans="2:15" ht="13" hidden="1" x14ac:dyDescent="0.3">
      <c r="B125" s="92"/>
      <c r="C125" s="123" t="str">
        <f>IF(D49="y","Fraction Full (Max Level)","High/Max Level")</f>
        <v>High/Max Level</v>
      </c>
      <c r="D125" s="132">
        <f>IF(OR($D$7="c",$D$7="r",D7="h"),(SUM(E53:E67)/COUNTIF(E53:E67,"&gt;0")),IF($D$8="y",(SUM(E53:E67)/COUNTIF(E53:E67,"&gt;0"))/($D$6*10^6)))</f>
        <v>18.706666666666667</v>
      </c>
      <c r="E125" s="135">
        <f t="shared" ref="E125:I126" si="11">E99</f>
        <v>18</v>
      </c>
      <c r="F125" s="135">
        <f t="shared" si="11"/>
        <v>18</v>
      </c>
      <c r="G125" s="135">
        <f t="shared" si="11"/>
        <v>17</v>
      </c>
      <c r="H125" s="135">
        <f t="shared" si="11"/>
        <v>17</v>
      </c>
      <c r="I125" s="135">
        <f t="shared" si="11"/>
        <v>17</v>
      </c>
      <c r="J125" s="95" t="str">
        <f>IF(D49="y","","ft")</f>
        <v>ft</v>
      </c>
      <c r="K125" s="95"/>
      <c r="L125" s="8"/>
      <c r="M125" s="8"/>
      <c r="N125" s="8"/>
      <c r="O125" s="94"/>
    </row>
    <row r="126" spans="2:15" ht="13" hidden="1" x14ac:dyDescent="0.3">
      <c r="B126" s="92"/>
      <c r="C126" s="123" t="str">
        <f>IF(D49="y","Fraction Full (Min Level)","Low/Min Level")</f>
        <v>Low/Min Level</v>
      </c>
      <c r="D126" s="132">
        <f>IF(OR($D$7="c",$D$7="r",D7="h"),(SUM(D53:D67)/COUNTIF(D53:D67,"&gt;0")),IF($D$8="y",(SUM(D53:D67)/COUNTIF(D53:D67,"&gt;0"))/($D$6*10^6)))</f>
        <v>16.786666666666669</v>
      </c>
      <c r="E126" s="135">
        <f t="shared" si="11"/>
        <v>15</v>
      </c>
      <c r="F126" s="135">
        <f t="shared" si="11"/>
        <v>15</v>
      </c>
      <c r="G126" s="135">
        <f t="shared" si="11"/>
        <v>15</v>
      </c>
      <c r="H126" s="135">
        <f t="shared" si="11"/>
        <v>14</v>
      </c>
      <c r="I126" s="135">
        <f t="shared" si="11"/>
        <v>14</v>
      </c>
      <c r="J126" s="95" t="str">
        <f>IF(D49="y","","ft")</f>
        <v>ft</v>
      </c>
      <c r="K126" s="95"/>
      <c r="L126" s="8"/>
      <c r="M126" s="8"/>
      <c r="N126" s="8"/>
      <c r="O126" s="94"/>
    </row>
    <row r="127" spans="2:15" ht="24.75" hidden="1" customHeight="1" x14ac:dyDescent="0.3">
      <c r="B127" s="92"/>
      <c r="C127" s="137" t="s">
        <v>87</v>
      </c>
      <c r="D127" s="141">
        <f>D114</f>
        <v>0.37135748109988903</v>
      </c>
      <c r="E127" s="141">
        <f t="shared" ref="E127:I128" si="12">E114</f>
        <v>0.62551218390327168</v>
      </c>
      <c r="F127" s="141">
        <f t="shared" si="12"/>
        <v>1.2510243678065434</v>
      </c>
      <c r="G127" s="141">
        <f t="shared" si="12"/>
        <v>0.83401624520436224</v>
      </c>
      <c r="H127" s="141">
        <f t="shared" si="12"/>
        <v>1.3099093778616242</v>
      </c>
      <c r="I127" s="141">
        <f t="shared" si="12"/>
        <v>0.87327291857441602</v>
      </c>
      <c r="J127" s="95"/>
      <c r="K127" s="95"/>
      <c r="L127" s="8"/>
      <c r="M127" s="8"/>
      <c r="N127" s="8"/>
      <c r="O127" s="94"/>
    </row>
    <row r="128" spans="2:15" ht="13" hidden="1" x14ac:dyDescent="0.3">
      <c r="B128" s="92"/>
      <c r="C128" s="137" t="s">
        <v>8</v>
      </c>
      <c r="D128" s="142">
        <f>D115</f>
        <v>4.603952523332218</v>
      </c>
      <c r="E128" s="140">
        <f t="shared" si="12"/>
        <v>4.2900000000000009</v>
      </c>
      <c r="F128" s="140">
        <f t="shared" si="12"/>
        <v>4.2900000000000009</v>
      </c>
      <c r="G128" s="140">
        <f t="shared" si="12"/>
        <v>4.16</v>
      </c>
      <c r="H128" s="140">
        <f t="shared" si="12"/>
        <v>4.03</v>
      </c>
      <c r="I128" s="140">
        <f t="shared" si="12"/>
        <v>4.03</v>
      </c>
      <c r="J128" s="95" t="s">
        <v>2</v>
      </c>
      <c r="K128" s="95"/>
      <c r="L128" s="8"/>
      <c r="M128" s="8"/>
      <c r="N128" s="8"/>
      <c r="O128" s="94"/>
    </row>
    <row r="129" spans="2:15" ht="39" hidden="1" x14ac:dyDescent="0.3">
      <c r="B129" s="92"/>
      <c r="C129" s="161" t="s">
        <v>84</v>
      </c>
      <c r="D129" s="146">
        <v>0.14929999999999999</v>
      </c>
      <c r="E129" s="162">
        <f>D129</f>
        <v>0.14929999999999999</v>
      </c>
      <c r="F129" s="162">
        <f>D129</f>
        <v>0.14929999999999999</v>
      </c>
      <c r="G129" s="162">
        <f>D129</f>
        <v>0.14929999999999999</v>
      </c>
      <c r="H129" s="162">
        <f>D129</f>
        <v>0.14929999999999999</v>
      </c>
      <c r="I129" s="162">
        <f>D129</f>
        <v>0.14929999999999999</v>
      </c>
      <c r="J129" s="95" t="s">
        <v>76</v>
      </c>
      <c r="K129" s="95"/>
      <c r="L129" s="8"/>
      <c r="M129" s="8"/>
      <c r="N129" s="8"/>
      <c r="O129" s="94"/>
    </row>
    <row r="130" spans="2:15" ht="26" hidden="1" x14ac:dyDescent="0.3">
      <c r="B130" s="92"/>
      <c r="C130" s="123" t="s">
        <v>80</v>
      </c>
      <c r="D130" s="124">
        <f>SUM(F53:F67)/COUNTIF(F53:F67,"&gt;0")</f>
        <v>0.1883464</v>
      </c>
      <c r="E130" s="124">
        <f>IF(OR($D$7="c",$D$7="h"),(E100)*PI()*($D$10/2)^2*7.48/10^6,IF($D$7="r",E100*$D$10*$D$11*7.48/10^6,IF($D$8="y",E100/10^6,"error")))</f>
        <v>0.16830000000000001</v>
      </c>
      <c r="F130" s="124">
        <f>IF(OR($D$7="c",$D$7="h"),(F100)*PI()*($D$10/2)^2*7.48/10^6,IF($D$7="r",F100*$D$10*$D$11*7.48/10^6,IF($D$8="y",F100/10^6,"error")))</f>
        <v>0.16830000000000001</v>
      </c>
      <c r="G130" s="124">
        <f>IF(OR($D$7="c",$D$7="h"),(G100)*PI()*($D$10/2)^2*7.48/10^6,IF($D$7="r",G100*$D$10*$D$11*7.48/10^6,IF($D$8="y",G100/10^6,"error")))</f>
        <v>0.16830000000000001</v>
      </c>
      <c r="H130" s="124">
        <f>IF(OR($D$7="c",$D$7="h"),(H100)*PI()*($D$10/2)^2*7.48/10^6,IF($D$7="r",H100*$D$10*$D$11*7.48/10^6,IF($D$8="y",H100/10^6,"error")))</f>
        <v>0.15708</v>
      </c>
      <c r="I130" s="124">
        <f>IF(OR($D$7="c",$D$7="h"),(I100)*PI()*($D$10/2)^2*7.48/10^6,IF($D$7="r",I100*$D$10*$D$11*7.48/10^6,IF($D$8="y",I100/10^6,"error")))</f>
        <v>0.15708</v>
      </c>
      <c r="J130" s="95" t="s">
        <v>5</v>
      </c>
      <c r="K130" s="95"/>
      <c r="L130" s="8"/>
      <c r="M130" s="8"/>
      <c r="N130" s="8"/>
      <c r="O130" s="94"/>
    </row>
    <row r="131" spans="2:15" ht="39" hidden="1" x14ac:dyDescent="0.3">
      <c r="B131" s="92"/>
      <c r="C131" s="125" t="s">
        <v>81</v>
      </c>
      <c r="D131" s="124">
        <f>SUM(F53:F67)/COUNTIF(F53:F67,"&gt;0")+SUM(G53:G67)/COUNTIF(G53:G67,"&gt;0")</f>
        <v>0.20988880000000001</v>
      </c>
      <c r="E131" s="11">
        <f>IF(OR($D$7="c",$D$7="h"),(E99)*PI()*($D$10/2)^2*7.48/10^6,IF($D$7="r",E99*$D$10*$D$11*7.48/10^6,IF($D$8="y",E99/10^6,"error")))</f>
        <v>0.20196</v>
      </c>
      <c r="F131" s="11">
        <f>IF(OR($D$7="c",$D$7="h"),(F99)*PI()*($D$10/2)^2*7.48/10^6,IF($D$7="r",F99*$D$10*$D$11*7.48/10^6,IF($D$8="y",F99/10^6,"error")))</f>
        <v>0.20196</v>
      </c>
      <c r="G131" s="11">
        <f>IF(OR($D$7="c",$D$7="h"),(G99)*PI()*($D$10/2)^2*7.48/10^6,IF($D$7="r",G99*$D$10*$D$11*7.48/10^6,IF($D$8="y",G99/10^6,"error")))</f>
        <v>0.19073999999999999</v>
      </c>
      <c r="H131" s="11">
        <f>IF(OR($D$7="c",$D$7="h"),(H99)*PI()*($D$10/2)^2*7.48/10^6,IF($D$7="r",H99*$D$10*$D$11*7.48/10^6,IF($D$8="y",H99/10^6,"error")))</f>
        <v>0.19073999999999999</v>
      </c>
      <c r="I131" s="11">
        <f>IF(OR($D$7="c",$D$7="h"),(I99)*PI()*($D$10/2)^2*7.48/10^6,IF($D$7="r",I99*$D$10*$D$11*7.48/10^6,IF($D$8="y",I99/10^6,"error")))</f>
        <v>0.19073999999999999</v>
      </c>
      <c r="J131" s="95" t="s">
        <v>5</v>
      </c>
      <c r="K131" s="95"/>
      <c r="L131" s="8"/>
      <c r="M131" s="8"/>
      <c r="N131" s="8"/>
      <c r="O131" s="94"/>
    </row>
    <row r="132" spans="2:15" ht="13" hidden="1" x14ac:dyDescent="0.3">
      <c r="B132" s="92"/>
      <c r="C132" s="123" t="s">
        <v>83</v>
      </c>
      <c r="D132" s="124">
        <f t="shared" ref="D132:I133" si="13">D108</f>
        <v>0.27495039682565092</v>
      </c>
      <c r="E132" s="124">
        <f t="shared" si="13"/>
        <v>0.43</v>
      </c>
      <c r="F132" s="124">
        <f t="shared" si="13"/>
        <v>0.43</v>
      </c>
      <c r="G132" s="124">
        <f t="shared" si="13"/>
        <v>0.28999999999999998</v>
      </c>
      <c r="H132" s="124">
        <f t="shared" si="13"/>
        <v>0.43</v>
      </c>
      <c r="I132" s="124">
        <f t="shared" si="13"/>
        <v>0.43</v>
      </c>
      <c r="J132" s="95" t="s">
        <v>2</v>
      </c>
      <c r="K132" s="95"/>
      <c r="L132" s="8"/>
      <c r="M132" s="8"/>
      <c r="N132" s="8"/>
      <c r="O132" s="94"/>
    </row>
    <row r="133" spans="2:15" ht="13" hidden="1" x14ac:dyDescent="0.3">
      <c r="B133" s="92"/>
      <c r="C133" s="123" t="s">
        <v>82</v>
      </c>
      <c r="D133" s="132">
        <f t="shared" si="13"/>
        <v>0.22314814814793257</v>
      </c>
      <c r="E133" s="132">
        <f t="shared" si="13"/>
        <v>0.35</v>
      </c>
      <c r="F133" s="132">
        <f t="shared" si="13"/>
        <v>0.35</v>
      </c>
      <c r="G133" s="132">
        <f t="shared" si="13"/>
        <v>0.23</v>
      </c>
      <c r="H133" s="132">
        <f t="shared" si="13"/>
        <v>0.35</v>
      </c>
      <c r="I133" s="132">
        <f t="shared" si="13"/>
        <v>0.35</v>
      </c>
      <c r="J133" s="95" t="s">
        <v>2</v>
      </c>
      <c r="K133" s="95"/>
      <c r="L133" s="8"/>
      <c r="M133" s="8"/>
      <c r="N133" s="8"/>
      <c r="O133" s="94"/>
    </row>
    <row r="134" spans="2:15" ht="39" hidden="1" x14ac:dyDescent="0.3">
      <c r="B134" s="92"/>
      <c r="C134" s="123" t="s">
        <v>91</v>
      </c>
      <c r="D134" s="144">
        <f t="shared" ref="D134:I134" si="14">(D130/(D131-D130))*(D133+D132)+D133+D132*(1-((D130/(D131-D130))-ROUNDDOWN((D130/(D131-D130)),0)))</f>
        <v>4.6486983759555054</v>
      </c>
      <c r="E134" s="144">
        <f t="shared" si="14"/>
        <v>4.6800000000000006</v>
      </c>
      <c r="F134" s="144">
        <f t="shared" si="14"/>
        <v>4.6800000000000006</v>
      </c>
      <c r="G134" s="144">
        <f t="shared" si="14"/>
        <v>4.2750000000000012</v>
      </c>
      <c r="H134" s="144">
        <f t="shared" si="14"/>
        <v>4.1333333333333337</v>
      </c>
      <c r="I134" s="144">
        <f t="shared" si="14"/>
        <v>4.1333333333333337</v>
      </c>
      <c r="J134" s="95" t="s">
        <v>2</v>
      </c>
      <c r="K134" s="95"/>
      <c r="L134" s="8"/>
      <c r="M134" s="8"/>
      <c r="N134" s="8"/>
      <c r="O134" s="94"/>
    </row>
    <row r="135" spans="2:15" ht="40.5" hidden="1" customHeight="1" x14ac:dyDescent="0.3">
      <c r="B135" s="92"/>
      <c r="C135" s="161" t="s">
        <v>85</v>
      </c>
      <c r="D135" s="146">
        <v>1.57</v>
      </c>
      <c r="E135" s="163">
        <f>D135</f>
        <v>1.57</v>
      </c>
      <c r="F135" s="163">
        <f>D135</f>
        <v>1.57</v>
      </c>
      <c r="G135" s="163">
        <f>D135</f>
        <v>1.57</v>
      </c>
      <c r="H135" s="163">
        <f>D135</f>
        <v>1.57</v>
      </c>
      <c r="I135" s="163">
        <f>D135</f>
        <v>1.57</v>
      </c>
      <c r="J135" s="95" t="s">
        <v>78</v>
      </c>
      <c r="K135" s="95"/>
      <c r="L135" s="8"/>
      <c r="M135" s="8"/>
      <c r="N135" s="8"/>
      <c r="O135" s="94"/>
    </row>
    <row r="136" spans="2:15" ht="41" hidden="1" x14ac:dyDescent="0.3">
      <c r="B136" s="92"/>
      <c r="C136" s="143" t="s">
        <v>109</v>
      </c>
      <c r="D136" s="145">
        <f t="shared" ref="D136:I136" si="15">((EXP(-D129*D133)-EXP(-D129*(D132+D133)))*D135)/(D129*D132*(1+(D130/(D131-D130))*(1-EXP(-D129*(D132+D133)))))</f>
        <v>0.91467467077932485</v>
      </c>
      <c r="E136" s="145">
        <f t="shared" si="15"/>
        <v>0.93133810672400552</v>
      </c>
      <c r="F136" s="145">
        <f t="shared" si="15"/>
        <v>0.93133810672400552</v>
      </c>
      <c r="G136" s="145">
        <f t="shared" si="15"/>
        <v>0.95153939549881872</v>
      </c>
      <c r="H136" s="145">
        <f t="shared" si="15"/>
        <v>0.95389393558630864</v>
      </c>
      <c r="I136" s="145">
        <f t="shared" si="15"/>
        <v>0.95389393558630864</v>
      </c>
      <c r="J136" s="95" t="s">
        <v>78</v>
      </c>
      <c r="K136" s="95"/>
      <c r="L136" s="8"/>
      <c r="M136" s="8"/>
      <c r="N136" s="8"/>
      <c r="O136" s="94"/>
    </row>
    <row r="137" spans="2:15" ht="41" hidden="1" x14ac:dyDescent="0.3">
      <c r="B137" s="92"/>
      <c r="C137" s="143" t="s">
        <v>108</v>
      </c>
      <c r="D137" s="145">
        <f t="shared" ref="D137:I137" si="16">D135*EXP(-D129*D134)</f>
        <v>0.78429108302523221</v>
      </c>
      <c r="E137" s="145">
        <f t="shared" si="16"/>
        <v>0.78063438118804207</v>
      </c>
      <c r="F137" s="145">
        <f t="shared" si="16"/>
        <v>0.78063438118804207</v>
      </c>
      <c r="G137" s="145">
        <f t="shared" si="16"/>
        <v>0.82929289034636866</v>
      </c>
      <c r="H137" s="145">
        <f t="shared" si="16"/>
        <v>0.84701993609363413</v>
      </c>
      <c r="I137" s="145">
        <f t="shared" si="16"/>
        <v>0.84701993609363413</v>
      </c>
      <c r="J137" s="95" t="s">
        <v>78</v>
      </c>
      <c r="K137" s="95"/>
      <c r="L137" s="8"/>
      <c r="M137" s="8"/>
      <c r="N137" s="8"/>
      <c r="O137" s="94"/>
    </row>
    <row r="138" spans="2:15" hidden="1" x14ac:dyDescent="0.25">
      <c r="B138" s="92"/>
      <c r="C138" s="8" t="s">
        <v>110</v>
      </c>
      <c r="D138" s="8"/>
      <c r="E138" s="8"/>
      <c r="F138" s="8"/>
      <c r="G138" s="8"/>
      <c r="H138" s="8"/>
      <c r="I138" s="8"/>
      <c r="J138" s="8"/>
      <c r="K138" s="8"/>
      <c r="L138" s="8"/>
      <c r="M138" s="8"/>
      <c r="N138" s="8"/>
      <c r="O138" s="94"/>
    </row>
    <row r="139" spans="2:15" hidden="1" x14ac:dyDescent="0.25">
      <c r="B139" s="92"/>
      <c r="C139" s="424" t="s">
        <v>228</v>
      </c>
      <c r="D139" s="422"/>
      <c r="E139" s="422"/>
      <c r="F139" s="422"/>
      <c r="G139" s="422"/>
      <c r="H139" s="422"/>
      <c r="I139" s="422"/>
      <c r="J139" s="8"/>
      <c r="K139" s="8"/>
      <c r="L139" s="8"/>
      <c r="M139" s="8"/>
      <c r="N139" s="8"/>
      <c r="O139" s="94"/>
    </row>
    <row r="140" spans="2:15" hidden="1" x14ac:dyDescent="0.25">
      <c r="B140" s="92"/>
      <c r="C140" s="424" t="s">
        <v>229</v>
      </c>
      <c r="D140" s="422"/>
      <c r="E140" s="422"/>
      <c r="F140" s="422"/>
      <c r="G140" s="422"/>
      <c r="H140" s="422"/>
      <c r="I140" s="422"/>
      <c r="J140" s="8"/>
      <c r="K140" s="8"/>
      <c r="L140" s="8"/>
      <c r="M140" s="8"/>
      <c r="N140" s="8"/>
      <c r="O140" s="94"/>
    </row>
    <row r="141" spans="2:15" hidden="1" x14ac:dyDescent="0.25">
      <c r="B141" s="92"/>
      <c r="C141" s="424" t="s">
        <v>230</v>
      </c>
      <c r="D141" s="422"/>
      <c r="E141" s="422"/>
      <c r="F141" s="422"/>
      <c r="G141" s="422"/>
      <c r="H141" s="422"/>
      <c r="I141" s="422"/>
      <c r="J141" s="8"/>
      <c r="K141" s="8"/>
      <c r="L141" s="8"/>
      <c r="M141" s="8"/>
      <c r="N141" s="8"/>
      <c r="O141" s="94"/>
    </row>
    <row r="142" spans="2:15" hidden="1" x14ac:dyDescent="0.25">
      <c r="B142" s="92"/>
      <c r="C142" s="422" t="s">
        <v>231</v>
      </c>
      <c r="D142" s="422"/>
      <c r="E142" s="422"/>
      <c r="F142" s="422"/>
      <c r="G142" s="422"/>
      <c r="H142" s="422"/>
      <c r="I142" s="422"/>
      <c r="J142" s="8"/>
      <c r="K142" s="8"/>
      <c r="L142" s="8"/>
      <c r="M142" s="8"/>
      <c r="N142" s="8"/>
      <c r="O142" s="94"/>
    </row>
    <row r="143" spans="2:15" ht="26.25" hidden="1" customHeight="1" thickBot="1" x14ac:dyDescent="0.3">
      <c r="B143" s="101"/>
      <c r="C143" s="423"/>
      <c r="D143" s="423"/>
      <c r="E143" s="423"/>
      <c r="F143" s="423"/>
      <c r="G143" s="423"/>
      <c r="H143" s="423"/>
      <c r="I143" s="423"/>
      <c r="J143" s="102"/>
      <c r="K143" s="102"/>
      <c r="L143" s="102"/>
      <c r="M143" s="102"/>
      <c r="N143" s="102"/>
      <c r="O143" s="103"/>
    </row>
  </sheetData>
  <mergeCells count="4">
    <mergeCell ref="E11:F12"/>
    <mergeCell ref="D80:F83"/>
    <mergeCell ref="H74:I74"/>
    <mergeCell ref="I77:L80"/>
  </mergeCells>
  <phoneticPr fontId="0" type="noConversion"/>
  <conditionalFormatting sqref="D114:I114">
    <cfRule type="cellIs" dxfId="79" priority="7" stopIfTrue="1" operator="greaterThanOrEqual">
      <formula>1</formula>
    </cfRule>
    <cfRule type="cellIs" dxfId="78" priority="8" stopIfTrue="1" operator="lessThan">
      <formula>1</formula>
    </cfRule>
  </conditionalFormatting>
  <conditionalFormatting sqref="D115:I115">
    <cfRule type="cellIs" dxfId="77" priority="5" stopIfTrue="1" operator="greaterThan">
      <formula>5</formula>
    </cfRule>
    <cfRule type="cellIs" dxfId="76" priority="6" stopIfTrue="1" operator="lessThanOrEqual">
      <formula>5</formula>
    </cfRule>
  </conditionalFormatting>
  <conditionalFormatting sqref="E79">
    <cfRule type="cellIs" dxfId="75" priority="3" stopIfTrue="1" operator="lessThanOrEqual">
      <formula>5</formula>
    </cfRule>
    <cfRule type="cellIs" dxfId="74" priority="4" stopIfTrue="1" operator="greaterThan">
      <formula>5</formula>
    </cfRule>
  </conditionalFormatting>
  <conditionalFormatting sqref="J75">
    <cfRule type="cellIs" dxfId="73" priority="1" stopIfTrue="1" operator="greaterThanOrEqual">
      <formula>1</formula>
    </cfRule>
    <cfRule type="cellIs" dxfId="72" priority="2" stopIfTrue="1" operator="lessThan">
      <formula>1</formula>
    </cfRule>
  </conditionalFormatting>
  <pageMargins left="0.75" right="0.75" top="1" bottom="1" header="0.5" footer="0.5"/>
  <pageSetup scale="63" fitToHeight="4" orientation="landscape" r:id="rId1"/>
  <headerFooter alignWithMargins="0"/>
  <rowBreaks count="2" manualBreakCount="2">
    <brk id="48" max="16383" man="1"/>
    <brk id="84"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42654-3B91-40A4-B433-D42E38274EE1}">
  <dimension ref="A1:T143"/>
  <sheetViews>
    <sheetView showGridLines="0" topLeftCell="A50" zoomScale="80" zoomScaleNormal="80" workbookViewId="0">
      <selection activeCell="I77" sqref="I77:L80"/>
    </sheetView>
  </sheetViews>
  <sheetFormatPr defaultColWidth="9.1796875" defaultRowHeight="12.5" x14ac:dyDescent="0.25"/>
  <cols>
    <col min="1" max="2" width="1.54296875" style="1" customWidth="1"/>
    <col min="3" max="3" width="26" style="1" customWidth="1"/>
    <col min="4" max="4" width="17.81640625" style="1" customWidth="1"/>
    <col min="5" max="6" width="20.81640625" style="1" customWidth="1"/>
    <col min="7" max="7" width="17.81640625" style="1" customWidth="1"/>
    <col min="8" max="9" width="23.81640625" style="1" customWidth="1"/>
    <col min="10" max="10" width="16.453125" style="1" customWidth="1"/>
    <col min="11" max="11" width="12.81640625" style="1" customWidth="1"/>
    <col min="12" max="12" width="16.1796875" style="1" customWidth="1"/>
    <col min="13" max="13" width="9.1796875" style="1"/>
    <col min="14" max="14" width="9.81640625" style="1" customWidth="1"/>
    <col min="15" max="17" width="9.1796875" style="1"/>
    <col min="18" max="18" width="9.1796875" style="485" customWidth="1"/>
    <col min="19" max="16384" width="9.1796875" style="1"/>
  </cols>
  <sheetData>
    <row r="1" spans="2:20" ht="13" thickBot="1" x14ac:dyDescent="0.3"/>
    <row r="2" spans="2:20" ht="20.25" customHeight="1" thickBot="1" x14ac:dyDescent="0.3">
      <c r="B2" s="425" t="s">
        <v>299</v>
      </c>
      <c r="C2" s="426"/>
      <c r="D2" s="426"/>
      <c r="E2" s="426"/>
      <c r="F2" s="426"/>
      <c r="G2" s="426"/>
      <c r="H2" s="426"/>
      <c r="I2" s="426"/>
      <c r="J2" s="426"/>
      <c r="K2" s="426"/>
      <c r="L2" s="426"/>
      <c r="M2" s="426"/>
      <c r="N2" s="426"/>
      <c r="O2" s="427"/>
    </row>
    <row r="3" spans="2:20" ht="18.5" thickBot="1" x14ac:dyDescent="0.45">
      <c r="B3" s="116" t="s">
        <v>187</v>
      </c>
      <c r="C3" s="117"/>
      <c r="D3" s="118"/>
      <c r="E3" s="117"/>
      <c r="F3" s="118"/>
      <c r="G3" s="118"/>
      <c r="H3" s="118"/>
      <c r="I3" s="118"/>
      <c r="J3" s="118"/>
      <c r="K3" s="118"/>
      <c r="L3" s="118"/>
      <c r="M3" s="118"/>
      <c r="N3" s="118"/>
      <c r="O3" s="119"/>
    </row>
    <row r="4" spans="2:20" ht="16" customHeight="1" x14ac:dyDescent="0.3">
      <c r="B4" s="149"/>
      <c r="C4" s="329"/>
      <c r="D4" s="90"/>
      <c r="E4" s="90"/>
      <c r="F4" s="90"/>
      <c r="G4" s="90"/>
      <c r="H4" s="90"/>
      <c r="I4" s="90"/>
      <c r="J4" s="90"/>
      <c r="K4" s="90"/>
      <c r="L4" s="90"/>
      <c r="M4" s="90"/>
      <c r="N4" s="90"/>
      <c r="O4" s="91"/>
    </row>
    <row r="5" spans="2:20" ht="16" customHeight="1" x14ac:dyDescent="0.3">
      <c r="B5" s="92"/>
      <c r="C5" s="152" t="s">
        <v>7</v>
      </c>
      <c r="D5" s="153">
        <f>'Tank Summary'!L12</f>
        <v>0</v>
      </c>
      <c r="E5" s="93"/>
      <c r="F5" s="93"/>
      <c r="G5" s="8"/>
      <c r="H5" s="8"/>
      <c r="I5" s="8"/>
      <c r="J5" s="8"/>
      <c r="K5" s="8"/>
      <c r="L5" s="8"/>
      <c r="M5" s="8"/>
      <c r="N5" s="8"/>
      <c r="O5" s="94"/>
    </row>
    <row r="6" spans="2:20" ht="16" customHeight="1" x14ac:dyDescent="0.3">
      <c r="B6" s="92"/>
      <c r="C6" s="147" t="s">
        <v>96</v>
      </c>
      <c r="D6" s="154">
        <f>'Tank Summary'!L13</f>
        <v>0</v>
      </c>
      <c r="E6" s="93"/>
      <c r="F6" s="93"/>
      <c r="G6" s="8"/>
      <c r="H6" s="8"/>
      <c r="I6" s="8"/>
      <c r="J6" s="8"/>
      <c r="K6" s="8"/>
      <c r="L6" s="8"/>
      <c r="M6" s="8"/>
      <c r="N6" s="8"/>
      <c r="O6" s="94"/>
    </row>
    <row r="7" spans="2:20" ht="40.5" customHeight="1" x14ac:dyDescent="0.3">
      <c r="B7" s="92"/>
      <c r="C7" s="155" t="s">
        <v>64</v>
      </c>
      <c r="D7" s="88">
        <f>'Tank Summary'!L14</f>
        <v>0</v>
      </c>
      <c r="E7" s="150"/>
      <c r="F7" s="93"/>
      <c r="G7" s="151"/>
      <c r="H7" s="8"/>
      <c r="I7" s="8"/>
      <c r="J7" s="8"/>
      <c r="K7" s="8"/>
      <c r="L7" s="8"/>
      <c r="M7" s="8"/>
      <c r="N7" s="8"/>
      <c r="O7" s="94"/>
    </row>
    <row r="8" spans="2:20" ht="39.75" customHeight="1" x14ac:dyDescent="0.3">
      <c r="B8" s="92"/>
      <c r="C8" s="155" t="s">
        <v>66</v>
      </c>
      <c r="D8" s="156">
        <f>'Tank Summary'!L15</f>
        <v>0</v>
      </c>
      <c r="E8" s="150"/>
      <c r="F8" s="93"/>
      <c r="G8" s="151"/>
      <c r="H8" s="8"/>
      <c r="I8" s="8"/>
      <c r="J8" s="8"/>
      <c r="K8" s="8"/>
      <c r="L8" s="8"/>
      <c r="M8" s="8"/>
      <c r="N8" s="8"/>
      <c r="O8" s="94"/>
    </row>
    <row r="9" spans="2:20" ht="18" customHeight="1" x14ac:dyDescent="0.3">
      <c r="B9" s="92"/>
      <c r="C9" s="147" t="s">
        <v>304</v>
      </c>
      <c r="D9" s="157">
        <f>'Tank Summary'!L20</f>
        <v>0</v>
      </c>
      <c r="E9" s="93" t="str">
        <f>IF(OR(D7="c", D7="r",D7="h"),"ft","")</f>
        <v/>
      </c>
      <c r="F9" s="96"/>
      <c r="G9" s="8"/>
      <c r="H9" s="8"/>
      <c r="I9" s="8"/>
      <c r="J9" s="8"/>
      <c r="K9" s="8"/>
      <c r="L9" s="8"/>
      <c r="M9" s="8"/>
      <c r="N9" s="8"/>
      <c r="O9" s="94"/>
    </row>
    <row r="10" spans="2:20" ht="18" customHeight="1" x14ac:dyDescent="0.3">
      <c r="B10" s="92"/>
      <c r="C10" s="158" t="str">
        <f>IF(OR(D7="c", D7="h"), "Tank diameter, D:", IF(D7="r","Longest Sidewall Length, D:","Maximum diameter, D:"))</f>
        <v>Maximum diameter, D:</v>
      </c>
      <c r="D10" s="157">
        <f>'Tank Summary'!L17</f>
        <v>0</v>
      </c>
      <c r="E10" s="93" t="str">
        <f>IF(OR(D7="c", D7="r",D7="h"),"ft","")</f>
        <v/>
      </c>
      <c r="F10" s="93"/>
      <c r="G10" s="151"/>
      <c r="H10" s="8"/>
      <c r="I10" s="8"/>
      <c r="J10" s="8"/>
      <c r="K10" s="8"/>
      <c r="L10" s="8"/>
      <c r="M10" s="8"/>
      <c r="N10" s="8"/>
      <c r="O10" s="94"/>
    </row>
    <row r="11" spans="2:20" ht="18" customHeight="1" x14ac:dyDescent="0.3">
      <c r="B11" s="92"/>
      <c r="C11" s="158" t="str">
        <f>IF(OR(D7="c", D7="h"),"",IF(D7="r","Shortest Sidewall Length, L:",""))</f>
        <v/>
      </c>
      <c r="D11" s="157">
        <f>'Tank Summary'!L18</f>
        <v>0</v>
      </c>
      <c r="E11" s="501" t="str">
        <f>IF(OR(D7="c", D7="h"),"",IF(D7="r","ft",IF(D8="y","","Spreadsheet is not set up for shapes other than cylindrical, hydropillar, &amp; rectangular unless SCADA reports tank volume!")))</f>
        <v>Spreadsheet is not set up for shapes other than cylindrical, hydropillar, &amp; rectangular unless SCADA reports tank volume!</v>
      </c>
      <c r="F11" s="502"/>
      <c r="G11" s="151"/>
      <c r="H11" s="8"/>
      <c r="I11" s="8"/>
      <c r="J11" s="8"/>
      <c r="K11" s="8"/>
      <c r="L11" s="8"/>
      <c r="M11" s="8"/>
      <c r="N11" s="8"/>
      <c r="O11" s="94"/>
    </row>
    <row r="12" spans="2:20" ht="18" customHeight="1" x14ac:dyDescent="0.3">
      <c r="B12" s="92"/>
      <c r="C12" s="152" t="str">
        <f>IF(D8="y", "Volume Cutoff Ratio:", "H/D Ratio:")</f>
        <v>H/D Ratio:</v>
      </c>
      <c r="D12" s="88" t="e">
        <f>IF(D8="y", (PI()/4)*D10^3, 'Tank Summary'!L22)</f>
        <v>#DIV/0!</v>
      </c>
      <c r="E12" s="501"/>
      <c r="F12" s="502"/>
      <c r="G12" s="151"/>
      <c r="H12" s="8"/>
      <c r="I12" s="8"/>
      <c r="J12" s="8"/>
      <c r="K12" s="8"/>
      <c r="L12" s="8"/>
      <c r="M12" s="8"/>
      <c r="N12" s="8"/>
      <c r="O12" s="94"/>
    </row>
    <row r="13" spans="2:20" ht="18" customHeight="1" x14ac:dyDescent="0.3">
      <c r="B13" s="92"/>
      <c r="C13" s="152" t="s">
        <v>10</v>
      </c>
      <c r="D13" s="88">
        <f>'Tank Summary'!L19</f>
        <v>0</v>
      </c>
      <c r="E13" s="93" t="s">
        <v>1</v>
      </c>
      <c r="F13" s="93"/>
      <c r="G13" s="8"/>
      <c r="H13" s="8"/>
      <c r="I13" s="8"/>
      <c r="J13" s="8"/>
      <c r="K13" s="8"/>
      <c r="L13" s="8"/>
      <c r="M13" s="8"/>
      <c r="N13" s="8"/>
      <c r="O13" s="94"/>
    </row>
    <row r="14" spans="2:20" ht="16" customHeight="1" x14ac:dyDescent="0.25">
      <c r="B14" s="92"/>
      <c r="C14" s="29"/>
      <c r="D14" s="29"/>
      <c r="E14" s="29"/>
      <c r="F14" s="29"/>
      <c r="G14" s="29"/>
      <c r="H14" s="29"/>
      <c r="I14" s="29"/>
      <c r="J14" s="8"/>
      <c r="K14" s="8"/>
      <c r="L14" s="8"/>
      <c r="M14" s="8"/>
      <c r="N14" s="8"/>
      <c r="O14" s="94"/>
      <c r="Q14" s="481"/>
      <c r="R14" s="481"/>
      <c r="S14" s="481"/>
      <c r="T14" s="481"/>
    </row>
    <row r="15" spans="2:20" ht="16" customHeight="1" x14ac:dyDescent="0.3">
      <c r="B15" s="92"/>
      <c r="C15" s="95" t="s">
        <v>206</v>
      </c>
      <c r="D15" s="53"/>
      <c r="E15" s="53"/>
      <c r="F15" s="53"/>
      <c r="G15" s="96"/>
      <c r="H15" s="338"/>
      <c r="I15" s="53"/>
      <c r="J15" s="8"/>
      <c r="K15" s="8"/>
      <c r="L15" s="97"/>
      <c r="M15" s="8"/>
      <c r="N15" s="8"/>
      <c r="O15" s="94"/>
      <c r="Q15" s="481"/>
      <c r="R15" s="481"/>
      <c r="S15" s="481"/>
      <c r="T15" s="481"/>
    </row>
    <row r="16" spans="2:20" ht="13" x14ac:dyDescent="0.3">
      <c r="B16" s="92"/>
      <c r="C16" s="13" t="s">
        <v>19</v>
      </c>
      <c r="D16" s="13" t="s">
        <v>20</v>
      </c>
      <c r="E16" s="13" t="str">
        <f>IF(D8="y","Vol at Start of Fill","Min Level")</f>
        <v>Min Level</v>
      </c>
      <c r="F16" s="13" t="str">
        <f>IF(D8="y","Vol at End of Fill","Max Level")</f>
        <v>Max Level</v>
      </c>
      <c r="G16" s="13" t="s">
        <v>21</v>
      </c>
      <c r="H16" s="13" t="s">
        <v>22</v>
      </c>
      <c r="I16" s="8"/>
      <c r="K16" s="8"/>
      <c r="L16" s="8"/>
      <c r="M16" s="8"/>
      <c r="N16" s="8"/>
      <c r="O16" s="94"/>
      <c r="Q16" s="481"/>
      <c r="R16" s="482" t="s">
        <v>285</v>
      </c>
      <c r="S16" s="481"/>
      <c r="T16" s="481"/>
    </row>
    <row r="17" spans="2:20" ht="13" x14ac:dyDescent="0.3">
      <c r="B17" s="92"/>
      <c r="C17" s="14"/>
      <c r="D17" s="14"/>
      <c r="E17" s="14" t="str">
        <f>IF(D8="y","Gal","Ft")</f>
        <v>Ft</v>
      </c>
      <c r="F17" s="14" t="str">
        <f>IF(D8="y","Gal","Ft")</f>
        <v>Ft</v>
      </c>
      <c r="G17" s="14"/>
      <c r="H17" s="14" t="s">
        <v>23</v>
      </c>
      <c r="I17" s="8"/>
      <c r="K17" s="8"/>
      <c r="L17" s="8"/>
      <c r="M17" s="8"/>
      <c r="N17" s="8"/>
      <c r="O17" s="94"/>
      <c r="Q17" s="481"/>
      <c r="R17" s="482" t="str">
        <f>IF(D8="y","Gal","Ft")</f>
        <v>Ft</v>
      </c>
      <c r="S17" s="481"/>
      <c r="T17" s="481"/>
    </row>
    <row r="18" spans="2:20" ht="13" x14ac:dyDescent="0.3">
      <c r="B18" s="92"/>
      <c r="C18" s="339"/>
      <c r="D18" s="340"/>
      <c r="E18" s="341"/>
      <c r="F18" s="341"/>
      <c r="G18" s="89">
        <f t="shared" ref="G18:G47" si="0">C18+D18</f>
        <v>0</v>
      </c>
      <c r="H18" s="12">
        <v>0</v>
      </c>
      <c r="I18" s="8">
        <v>1</v>
      </c>
      <c r="K18" s="8"/>
      <c r="L18" s="8"/>
      <c r="M18" s="8"/>
      <c r="N18" s="8"/>
      <c r="O18" s="94"/>
      <c r="Q18" s="481"/>
      <c r="R18" s="483" t="str">
        <f t="shared" ref="R18:R47" si="1">IF(G18,E18+F18,"")</f>
        <v/>
      </c>
      <c r="S18" s="481"/>
      <c r="T18" s="481"/>
    </row>
    <row r="19" spans="2:20" ht="13" x14ac:dyDescent="0.3">
      <c r="B19" s="92"/>
      <c r="C19" s="339"/>
      <c r="D19" s="340"/>
      <c r="E19" s="341"/>
      <c r="F19" s="341"/>
      <c r="G19" s="89">
        <f t="shared" si="0"/>
        <v>0</v>
      </c>
      <c r="H19" s="12" t="str">
        <f t="shared" ref="H19:H47" si="2">IF(G19,G19-$G$18,"")</f>
        <v/>
      </c>
      <c r="I19" s="8"/>
      <c r="K19" s="8"/>
      <c r="L19" s="8"/>
      <c r="M19" s="8"/>
      <c r="N19" s="8"/>
      <c r="O19" s="94"/>
      <c r="Q19" s="481"/>
      <c r="R19" s="483" t="str">
        <f t="shared" si="1"/>
        <v/>
      </c>
      <c r="S19" s="481"/>
      <c r="T19" s="481"/>
    </row>
    <row r="20" spans="2:20" ht="13" x14ac:dyDescent="0.3">
      <c r="B20" s="92"/>
      <c r="C20" s="347"/>
      <c r="D20" s="348"/>
      <c r="E20" s="349"/>
      <c r="F20" s="349"/>
      <c r="G20" s="350">
        <f t="shared" si="0"/>
        <v>0</v>
      </c>
      <c r="H20" s="351" t="str">
        <f t="shared" si="2"/>
        <v/>
      </c>
      <c r="I20" s="8">
        <v>2</v>
      </c>
      <c r="K20" s="8"/>
      <c r="L20" s="8"/>
      <c r="M20" s="8"/>
      <c r="N20" s="8"/>
      <c r="O20" s="94"/>
      <c r="Q20" s="481"/>
      <c r="R20" s="483" t="str">
        <f t="shared" si="1"/>
        <v/>
      </c>
      <c r="S20" s="481"/>
      <c r="T20" s="481"/>
    </row>
    <row r="21" spans="2:20" ht="13" x14ac:dyDescent="0.3">
      <c r="B21" s="92"/>
      <c r="C21" s="347"/>
      <c r="D21" s="348"/>
      <c r="E21" s="349"/>
      <c r="F21" s="349"/>
      <c r="G21" s="350">
        <f t="shared" si="0"/>
        <v>0</v>
      </c>
      <c r="H21" s="351" t="str">
        <f t="shared" si="2"/>
        <v/>
      </c>
      <c r="I21" s="8"/>
      <c r="K21" s="8"/>
      <c r="L21" s="8"/>
      <c r="M21" s="8"/>
      <c r="N21" s="8"/>
      <c r="O21" s="94"/>
      <c r="Q21" s="481"/>
      <c r="R21" s="483" t="str">
        <f t="shared" si="1"/>
        <v/>
      </c>
      <c r="S21" s="481"/>
      <c r="T21" s="481"/>
    </row>
    <row r="22" spans="2:20" ht="13" x14ac:dyDescent="0.3">
      <c r="B22" s="92"/>
      <c r="C22" s="339"/>
      <c r="D22" s="340"/>
      <c r="E22" s="341"/>
      <c r="F22" s="341"/>
      <c r="G22" s="89">
        <f t="shared" si="0"/>
        <v>0</v>
      </c>
      <c r="H22" s="12" t="str">
        <f t="shared" si="2"/>
        <v/>
      </c>
      <c r="I22" s="8">
        <v>3</v>
      </c>
      <c r="K22" s="8"/>
      <c r="L22" s="8"/>
      <c r="M22" s="8"/>
      <c r="N22" s="8"/>
      <c r="O22" s="94"/>
      <c r="Q22" s="481"/>
      <c r="R22" s="483" t="str">
        <f t="shared" si="1"/>
        <v/>
      </c>
      <c r="S22" s="481"/>
      <c r="T22" s="481"/>
    </row>
    <row r="23" spans="2:20" ht="13" x14ac:dyDescent="0.3">
      <c r="B23" s="92"/>
      <c r="C23" s="339"/>
      <c r="D23" s="340"/>
      <c r="E23" s="341"/>
      <c r="F23" s="341"/>
      <c r="G23" s="89">
        <f t="shared" si="0"/>
        <v>0</v>
      </c>
      <c r="H23" s="12" t="str">
        <f t="shared" si="2"/>
        <v/>
      </c>
      <c r="I23" s="8"/>
      <c r="K23" s="8"/>
      <c r="L23" s="8"/>
      <c r="M23" s="8"/>
      <c r="N23" s="8"/>
      <c r="O23" s="94"/>
      <c r="Q23" s="481"/>
      <c r="R23" s="483" t="str">
        <f t="shared" si="1"/>
        <v/>
      </c>
      <c r="S23" s="481"/>
      <c r="T23" s="481"/>
    </row>
    <row r="24" spans="2:20" ht="13" x14ac:dyDescent="0.3">
      <c r="B24" s="92"/>
      <c r="C24" s="347"/>
      <c r="D24" s="348"/>
      <c r="E24" s="349"/>
      <c r="F24" s="349"/>
      <c r="G24" s="350">
        <f t="shared" si="0"/>
        <v>0</v>
      </c>
      <c r="H24" s="351" t="str">
        <f t="shared" si="2"/>
        <v/>
      </c>
      <c r="I24" s="8">
        <v>4</v>
      </c>
      <c r="K24" s="8"/>
      <c r="L24" s="8"/>
      <c r="M24" s="8"/>
      <c r="N24" s="8"/>
      <c r="O24" s="94"/>
      <c r="Q24" s="481"/>
      <c r="R24" s="483" t="str">
        <f t="shared" si="1"/>
        <v/>
      </c>
      <c r="S24" s="481"/>
      <c r="T24" s="481"/>
    </row>
    <row r="25" spans="2:20" ht="13" x14ac:dyDescent="0.3">
      <c r="B25" s="92"/>
      <c r="C25" s="347"/>
      <c r="D25" s="348"/>
      <c r="E25" s="349"/>
      <c r="F25" s="349"/>
      <c r="G25" s="350">
        <f t="shared" si="0"/>
        <v>0</v>
      </c>
      <c r="H25" s="351" t="str">
        <f t="shared" si="2"/>
        <v/>
      </c>
      <c r="I25" s="8"/>
      <c r="K25" s="8"/>
      <c r="L25" s="8"/>
      <c r="M25" s="8"/>
      <c r="N25" s="8"/>
      <c r="O25" s="94"/>
      <c r="Q25" s="481"/>
      <c r="R25" s="483" t="str">
        <f t="shared" si="1"/>
        <v/>
      </c>
      <c r="S25" s="481"/>
      <c r="T25" s="481"/>
    </row>
    <row r="26" spans="2:20" ht="13" x14ac:dyDescent="0.3">
      <c r="B26" s="92"/>
      <c r="C26" s="342"/>
      <c r="D26" s="340"/>
      <c r="E26" s="341"/>
      <c r="F26" s="341"/>
      <c r="G26" s="89">
        <f t="shared" si="0"/>
        <v>0</v>
      </c>
      <c r="H26" s="12" t="str">
        <f t="shared" si="2"/>
        <v/>
      </c>
      <c r="I26" s="8">
        <v>5</v>
      </c>
      <c r="K26" s="8"/>
      <c r="L26" s="8"/>
      <c r="M26" s="8"/>
      <c r="N26" s="8"/>
      <c r="O26" s="94"/>
      <c r="Q26" s="481"/>
      <c r="R26" s="483" t="str">
        <f t="shared" si="1"/>
        <v/>
      </c>
      <c r="S26" s="481"/>
      <c r="T26" s="481"/>
    </row>
    <row r="27" spans="2:20" ht="13" x14ac:dyDescent="0.3">
      <c r="B27" s="92"/>
      <c r="C27" s="342"/>
      <c r="D27" s="340"/>
      <c r="E27" s="341"/>
      <c r="F27" s="341"/>
      <c r="G27" s="89">
        <f t="shared" si="0"/>
        <v>0</v>
      </c>
      <c r="H27" s="12" t="str">
        <f t="shared" si="2"/>
        <v/>
      </c>
      <c r="I27" s="8"/>
      <c r="K27" s="8"/>
      <c r="L27" s="8"/>
      <c r="M27" s="8"/>
      <c r="N27" s="8"/>
      <c r="O27" s="94"/>
      <c r="Q27" s="481"/>
      <c r="R27" s="483" t="str">
        <f t="shared" si="1"/>
        <v/>
      </c>
      <c r="S27" s="481"/>
      <c r="T27" s="481"/>
    </row>
    <row r="28" spans="2:20" ht="13" x14ac:dyDescent="0.3">
      <c r="B28" s="92"/>
      <c r="C28" s="347"/>
      <c r="D28" s="348"/>
      <c r="E28" s="349"/>
      <c r="F28" s="349"/>
      <c r="G28" s="350">
        <f t="shared" si="0"/>
        <v>0</v>
      </c>
      <c r="H28" s="351" t="str">
        <f t="shared" si="2"/>
        <v/>
      </c>
      <c r="I28" s="8">
        <v>6</v>
      </c>
      <c r="K28" s="8"/>
      <c r="L28" s="8"/>
      <c r="M28" s="8"/>
      <c r="N28" s="8"/>
      <c r="O28" s="94"/>
      <c r="Q28" s="481"/>
      <c r="R28" s="483" t="str">
        <f t="shared" si="1"/>
        <v/>
      </c>
      <c r="S28" s="481"/>
      <c r="T28" s="481"/>
    </row>
    <row r="29" spans="2:20" ht="13" x14ac:dyDescent="0.3">
      <c r="B29" s="92"/>
      <c r="C29" s="347"/>
      <c r="D29" s="348"/>
      <c r="E29" s="349"/>
      <c r="F29" s="349"/>
      <c r="G29" s="350">
        <f t="shared" si="0"/>
        <v>0</v>
      </c>
      <c r="H29" s="351" t="str">
        <f t="shared" si="2"/>
        <v/>
      </c>
      <c r="I29" s="8"/>
      <c r="K29" s="8"/>
      <c r="L29" s="8"/>
      <c r="M29" s="8"/>
      <c r="N29" s="8"/>
      <c r="O29" s="94"/>
      <c r="Q29" s="481"/>
      <c r="R29" s="483" t="str">
        <f t="shared" si="1"/>
        <v/>
      </c>
      <c r="S29" s="481"/>
      <c r="T29" s="481"/>
    </row>
    <row r="30" spans="2:20" ht="13" x14ac:dyDescent="0.3">
      <c r="B30" s="92"/>
      <c r="C30" s="342"/>
      <c r="D30" s="340"/>
      <c r="E30" s="341"/>
      <c r="F30" s="343"/>
      <c r="G30" s="89">
        <f t="shared" si="0"/>
        <v>0</v>
      </c>
      <c r="H30" s="12" t="str">
        <f t="shared" si="2"/>
        <v/>
      </c>
      <c r="I30" s="8">
        <v>7</v>
      </c>
      <c r="K30" s="8"/>
      <c r="L30" s="8"/>
      <c r="M30" s="8"/>
      <c r="N30" s="8"/>
      <c r="O30" s="94"/>
      <c r="Q30" s="481"/>
      <c r="R30" s="483" t="str">
        <f t="shared" si="1"/>
        <v/>
      </c>
      <c r="S30" s="481"/>
      <c r="T30" s="481"/>
    </row>
    <row r="31" spans="2:20" ht="13" x14ac:dyDescent="0.3">
      <c r="B31" s="92"/>
      <c r="C31" s="342"/>
      <c r="D31" s="340"/>
      <c r="E31" s="341"/>
      <c r="F31" s="341"/>
      <c r="G31" s="89">
        <f t="shared" si="0"/>
        <v>0</v>
      </c>
      <c r="H31" s="12" t="str">
        <f t="shared" si="2"/>
        <v/>
      </c>
      <c r="I31" s="8"/>
      <c r="K31" s="8"/>
      <c r="L31" s="8"/>
      <c r="M31" s="8"/>
      <c r="N31" s="8"/>
      <c r="O31" s="94"/>
      <c r="Q31" s="481"/>
      <c r="R31" s="483" t="str">
        <f t="shared" si="1"/>
        <v/>
      </c>
      <c r="S31" s="481"/>
      <c r="T31" s="481"/>
    </row>
    <row r="32" spans="2:20" ht="13" x14ac:dyDescent="0.3">
      <c r="B32" s="92"/>
      <c r="C32" s="347"/>
      <c r="D32" s="348"/>
      <c r="E32" s="349"/>
      <c r="F32" s="349"/>
      <c r="G32" s="350">
        <f t="shared" si="0"/>
        <v>0</v>
      </c>
      <c r="H32" s="351" t="str">
        <f t="shared" si="2"/>
        <v/>
      </c>
      <c r="I32" s="8">
        <v>8</v>
      </c>
      <c r="K32" s="8"/>
      <c r="L32" s="8"/>
      <c r="M32" s="8"/>
      <c r="N32" s="8"/>
      <c r="O32" s="94"/>
      <c r="Q32" s="481"/>
      <c r="R32" s="483" t="str">
        <f t="shared" si="1"/>
        <v/>
      </c>
      <c r="S32" s="481"/>
      <c r="T32" s="481"/>
    </row>
    <row r="33" spans="2:20" ht="13" x14ac:dyDescent="0.3">
      <c r="B33" s="92"/>
      <c r="C33" s="347"/>
      <c r="D33" s="348"/>
      <c r="E33" s="349"/>
      <c r="F33" s="349"/>
      <c r="G33" s="350">
        <f t="shared" si="0"/>
        <v>0</v>
      </c>
      <c r="H33" s="351" t="str">
        <f t="shared" si="2"/>
        <v/>
      </c>
      <c r="I33" s="8"/>
      <c r="K33" s="8"/>
      <c r="L33" s="8"/>
      <c r="M33" s="8"/>
      <c r="N33" s="8"/>
      <c r="O33" s="94"/>
      <c r="Q33" s="481"/>
      <c r="R33" s="483" t="str">
        <f t="shared" si="1"/>
        <v/>
      </c>
      <c r="S33" s="481"/>
      <c r="T33" s="481"/>
    </row>
    <row r="34" spans="2:20" ht="13" x14ac:dyDescent="0.3">
      <c r="B34" s="92"/>
      <c r="C34" s="342"/>
      <c r="D34" s="340"/>
      <c r="E34" s="341"/>
      <c r="F34" s="341"/>
      <c r="G34" s="89">
        <f t="shared" si="0"/>
        <v>0</v>
      </c>
      <c r="H34" s="12" t="str">
        <f t="shared" si="2"/>
        <v/>
      </c>
      <c r="I34" s="8">
        <v>9</v>
      </c>
      <c r="K34" s="8"/>
      <c r="L34" s="8"/>
      <c r="M34" s="8"/>
      <c r="N34" s="8"/>
      <c r="O34" s="94"/>
      <c r="Q34" s="481"/>
      <c r="R34" s="483" t="str">
        <f t="shared" si="1"/>
        <v/>
      </c>
      <c r="S34" s="481"/>
      <c r="T34" s="481"/>
    </row>
    <row r="35" spans="2:20" ht="13" x14ac:dyDescent="0.3">
      <c r="B35" s="92"/>
      <c r="C35" s="342"/>
      <c r="D35" s="340"/>
      <c r="E35" s="341"/>
      <c r="F35" s="341"/>
      <c r="G35" s="89">
        <f t="shared" si="0"/>
        <v>0</v>
      </c>
      <c r="H35" s="12" t="str">
        <f t="shared" si="2"/>
        <v/>
      </c>
      <c r="I35" s="8"/>
      <c r="K35" s="8"/>
      <c r="L35" s="8"/>
      <c r="M35" s="8"/>
      <c r="N35" s="8"/>
      <c r="O35" s="94"/>
      <c r="Q35" s="481"/>
      <c r="R35" s="483" t="str">
        <f t="shared" si="1"/>
        <v/>
      </c>
      <c r="S35" s="481"/>
      <c r="T35" s="481"/>
    </row>
    <row r="36" spans="2:20" ht="13" x14ac:dyDescent="0.3">
      <c r="B36" s="92"/>
      <c r="C36" s="347"/>
      <c r="D36" s="348"/>
      <c r="E36" s="349"/>
      <c r="F36" s="349"/>
      <c r="G36" s="350">
        <f t="shared" si="0"/>
        <v>0</v>
      </c>
      <c r="H36" s="351" t="str">
        <f t="shared" si="2"/>
        <v/>
      </c>
      <c r="I36" s="8">
        <v>10</v>
      </c>
      <c r="K36" s="8"/>
      <c r="L36" s="8"/>
      <c r="M36" s="8"/>
      <c r="N36" s="8"/>
      <c r="O36" s="94"/>
      <c r="Q36" s="481"/>
      <c r="R36" s="483" t="str">
        <f t="shared" si="1"/>
        <v/>
      </c>
      <c r="S36" s="481"/>
      <c r="T36" s="481"/>
    </row>
    <row r="37" spans="2:20" ht="13" x14ac:dyDescent="0.3">
      <c r="B37" s="92"/>
      <c r="C37" s="347"/>
      <c r="D37" s="348"/>
      <c r="E37" s="349"/>
      <c r="F37" s="349"/>
      <c r="G37" s="350">
        <f t="shared" si="0"/>
        <v>0</v>
      </c>
      <c r="H37" s="351" t="str">
        <f t="shared" si="2"/>
        <v/>
      </c>
      <c r="I37" s="8"/>
      <c r="K37" s="8"/>
      <c r="L37" s="8"/>
      <c r="M37" s="8"/>
      <c r="N37" s="8"/>
      <c r="O37" s="94"/>
      <c r="Q37" s="481"/>
      <c r="R37" s="483" t="str">
        <f t="shared" si="1"/>
        <v/>
      </c>
      <c r="S37" s="481"/>
      <c r="T37" s="481"/>
    </row>
    <row r="38" spans="2:20" ht="13" x14ac:dyDescent="0.3">
      <c r="B38" s="92"/>
      <c r="C38" s="342"/>
      <c r="D38" s="340"/>
      <c r="E38" s="341"/>
      <c r="F38" s="341"/>
      <c r="G38" s="89">
        <f t="shared" si="0"/>
        <v>0</v>
      </c>
      <c r="H38" s="12" t="str">
        <f t="shared" si="2"/>
        <v/>
      </c>
      <c r="I38" s="8">
        <v>11</v>
      </c>
      <c r="K38" s="424"/>
      <c r="L38" s="8"/>
      <c r="M38" s="8"/>
      <c r="N38" s="8"/>
      <c r="O38" s="94"/>
      <c r="Q38" s="481"/>
      <c r="R38" s="483" t="str">
        <f t="shared" si="1"/>
        <v/>
      </c>
      <c r="S38" s="481"/>
      <c r="T38" s="481"/>
    </row>
    <row r="39" spans="2:20" ht="13" x14ac:dyDescent="0.3">
      <c r="B39" s="92"/>
      <c r="C39" s="342"/>
      <c r="D39" s="340"/>
      <c r="E39" s="341"/>
      <c r="F39" s="341"/>
      <c r="G39" s="89">
        <f t="shared" si="0"/>
        <v>0</v>
      </c>
      <c r="H39" s="12" t="str">
        <f t="shared" si="2"/>
        <v/>
      </c>
      <c r="I39" s="8"/>
      <c r="K39" s="486"/>
      <c r="L39" s="8"/>
      <c r="M39" s="8"/>
      <c r="N39" s="8"/>
      <c r="O39" s="94"/>
      <c r="Q39" s="481"/>
      <c r="R39" s="483" t="str">
        <f t="shared" si="1"/>
        <v/>
      </c>
      <c r="S39" s="481"/>
      <c r="T39" s="481"/>
    </row>
    <row r="40" spans="2:20" ht="13" x14ac:dyDescent="0.3">
      <c r="B40" s="92"/>
      <c r="C40" s="347"/>
      <c r="D40" s="348"/>
      <c r="E40" s="349"/>
      <c r="F40" s="349"/>
      <c r="G40" s="350">
        <f t="shared" si="0"/>
        <v>0</v>
      </c>
      <c r="H40" s="351" t="str">
        <f t="shared" si="2"/>
        <v/>
      </c>
      <c r="I40" s="8">
        <v>12</v>
      </c>
      <c r="K40" s="486"/>
      <c r="L40" s="8"/>
      <c r="M40" s="8"/>
      <c r="N40" s="8"/>
      <c r="O40" s="94"/>
      <c r="Q40" s="481"/>
      <c r="R40" s="483" t="str">
        <f t="shared" si="1"/>
        <v/>
      </c>
      <c r="S40" s="481"/>
      <c r="T40" s="481"/>
    </row>
    <row r="41" spans="2:20" ht="13" x14ac:dyDescent="0.3">
      <c r="B41" s="92"/>
      <c r="C41" s="347"/>
      <c r="D41" s="348"/>
      <c r="E41" s="349"/>
      <c r="F41" s="349"/>
      <c r="G41" s="350">
        <f t="shared" si="0"/>
        <v>0</v>
      </c>
      <c r="H41" s="351" t="str">
        <f t="shared" si="2"/>
        <v/>
      </c>
      <c r="I41" s="8"/>
      <c r="K41" s="424"/>
      <c r="L41" s="8"/>
      <c r="M41" s="8"/>
      <c r="N41" s="8"/>
      <c r="O41" s="94"/>
      <c r="Q41" s="481"/>
      <c r="R41" s="483" t="str">
        <f t="shared" si="1"/>
        <v/>
      </c>
      <c r="S41" s="481"/>
      <c r="T41" s="481"/>
    </row>
    <row r="42" spans="2:20" ht="13" x14ac:dyDescent="0.3">
      <c r="B42" s="92"/>
      <c r="C42" s="342"/>
      <c r="D42" s="340"/>
      <c r="E42" s="341"/>
      <c r="F42" s="341"/>
      <c r="G42" s="89">
        <f t="shared" si="0"/>
        <v>0</v>
      </c>
      <c r="H42" s="12" t="str">
        <f t="shared" si="2"/>
        <v/>
      </c>
      <c r="I42" s="8">
        <v>13</v>
      </c>
      <c r="K42" s="8"/>
      <c r="L42" s="8"/>
      <c r="M42" s="8"/>
      <c r="N42" s="8"/>
      <c r="O42" s="94"/>
      <c r="Q42" s="481"/>
      <c r="R42" s="483" t="str">
        <f t="shared" si="1"/>
        <v/>
      </c>
      <c r="S42" s="481"/>
      <c r="T42" s="481"/>
    </row>
    <row r="43" spans="2:20" ht="13" x14ac:dyDescent="0.3">
      <c r="B43" s="92"/>
      <c r="C43" s="342"/>
      <c r="D43" s="340"/>
      <c r="E43" s="341"/>
      <c r="F43" s="341"/>
      <c r="G43" s="89">
        <f t="shared" si="0"/>
        <v>0</v>
      </c>
      <c r="H43" s="12" t="str">
        <f t="shared" si="2"/>
        <v/>
      </c>
      <c r="I43" s="8"/>
      <c r="K43" s="8"/>
      <c r="L43" s="8"/>
      <c r="M43" s="8"/>
      <c r="N43" s="8"/>
      <c r="O43" s="94"/>
      <c r="Q43" s="481"/>
      <c r="R43" s="483" t="str">
        <f t="shared" si="1"/>
        <v/>
      </c>
      <c r="S43" s="481"/>
      <c r="T43" s="481"/>
    </row>
    <row r="44" spans="2:20" ht="13" x14ac:dyDescent="0.3">
      <c r="B44" s="92"/>
      <c r="C44" s="347"/>
      <c r="D44" s="348"/>
      <c r="E44" s="349"/>
      <c r="F44" s="349"/>
      <c r="G44" s="350">
        <f t="shared" si="0"/>
        <v>0</v>
      </c>
      <c r="H44" s="351" t="str">
        <f t="shared" si="2"/>
        <v/>
      </c>
      <c r="I44" s="8">
        <v>14</v>
      </c>
      <c r="K44" s="8"/>
      <c r="L44" s="8"/>
      <c r="M44" s="8"/>
      <c r="N44" s="8"/>
      <c r="O44" s="94"/>
      <c r="Q44" s="481"/>
      <c r="R44" s="483" t="str">
        <f t="shared" si="1"/>
        <v/>
      </c>
      <c r="S44" s="481"/>
      <c r="T44" s="481"/>
    </row>
    <row r="45" spans="2:20" ht="13" x14ac:dyDescent="0.3">
      <c r="B45" s="92"/>
      <c r="C45" s="347"/>
      <c r="D45" s="348"/>
      <c r="E45" s="349"/>
      <c r="F45" s="349"/>
      <c r="G45" s="350">
        <f t="shared" si="0"/>
        <v>0</v>
      </c>
      <c r="H45" s="351" t="str">
        <f t="shared" si="2"/>
        <v/>
      </c>
      <c r="I45" s="8"/>
      <c r="L45" s="8"/>
      <c r="M45" s="8"/>
      <c r="N45" s="8"/>
      <c r="O45" s="94"/>
      <c r="Q45" s="481"/>
      <c r="R45" s="483" t="str">
        <f t="shared" si="1"/>
        <v/>
      </c>
      <c r="S45" s="481"/>
      <c r="T45" s="481"/>
    </row>
    <row r="46" spans="2:20" ht="13" x14ac:dyDescent="0.3">
      <c r="B46" s="92"/>
      <c r="C46" s="342"/>
      <c r="D46" s="340"/>
      <c r="E46" s="341"/>
      <c r="F46" s="341"/>
      <c r="G46" s="89">
        <f t="shared" si="0"/>
        <v>0</v>
      </c>
      <c r="H46" s="12" t="str">
        <f t="shared" si="2"/>
        <v/>
      </c>
      <c r="I46" s="8">
        <v>15</v>
      </c>
      <c r="L46" s="8"/>
      <c r="M46" s="8"/>
      <c r="N46" s="8"/>
      <c r="O46" s="94"/>
      <c r="Q46" s="481"/>
      <c r="R46" s="483" t="str">
        <f t="shared" si="1"/>
        <v/>
      </c>
      <c r="S46" s="481"/>
      <c r="T46" s="481"/>
    </row>
    <row r="47" spans="2:20" ht="13" x14ac:dyDescent="0.3">
      <c r="B47" s="92"/>
      <c r="C47" s="342"/>
      <c r="D47" s="340"/>
      <c r="E47" s="341"/>
      <c r="F47" s="341"/>
      <c r="G47" s="89">
        <f t="shared" si="0"/>
        <v>0</v>
      </c>
      <c r="H47" s="12" t="str">
        <f t="shared" si="2"/>
        <v/>
      </c>
      <c r="I47" s="8"/>
      <c r="L47" s="8"/>
      <c r="M47" s="8"/>
      <c r="N47" s="8"/>
      <c r="O47" s="94"/>
      <c r="Q47" s="481"/>
      <c r="R47" s="483" t="str">
        <f t="shared" si="1"/>
        <v/>
      </c>
      <c r="S47" s="481"/>
      <c r="T47" s="481"/>
    </row>
    <row r="48" spans="2:20" ht="13" x14ac:dyDescent="0.3">
      <c r="B48" s="92"/>
      <c r="C48" s="8"/>
      <c r="D48" s="8"/>
      <c r="E48" s="430" t="str">
        <f>IF(COUNT(E16:E47)=COUNT(F16:F47),"", "Please enter complete fill periods (i.e., equal number of min and max levels)!")</f>
        <v/>
      </c>
      <c r="F48" s="428"/>
      <c r="G48" s="8"/>
      <c r="H48" s="8"/>
      <c r="I48" s="8"/>
      <c r="J48" s="8"/>
      <c r="L48" s="8"/>
      <c r="M48" s="8"/>
      <c r="N48" s="8"/>
      <c r="O48" s="94"/>
      <c r="Q48" s="481"/>
      <c r="R48" s="481"/>
      <c r="S48" s="481"/>
      <c r="T48" s="481"/>
    </row>
    <row r="49" spans="2:20" ht="27" customHeight="1" thickBot="1" x14ac:dyDescent="0.35">
      <c r="B49" s="92"/>
      <c r="C49" s="8"/>
      <c r="D49" s="8"/>
      <c r="E49" s="429"/>
      <c r="F49" s="429"/>
      <c r="G49" s="8"/>
      <c r="H49" s="8"/>
      <c r="I49" s="8"/>
      <c r="J49" s="8"/>
      <c r="L49" s="8"/>
      <c r="M49" s="8"/>
      <c r="N49" s="8"/>
      <c r="O49" s="94"/>
      <c r="Q49" s="481"/>
      <c r="R49" s="481"/>
      <c r="S49" s="481"/>
      <c r="T49" s="481"/>
    </row>
    <row r="50" spans="2:20" x14ac:dyDescent="0.25">
      <c r="B50" s="92"/>
      <c r="C50" s="17" t="s">
        <v>0</v>
      </c>
      <c r="D50" s="18" t="str">
        <f>IF(D8="y","Vol at Start of Fill","Low/Min Level")</f>
        <v>Low/Min Level</v>
      </c>
      <c r="E50" s="18" t="str">
        <f>IF(D8="y","Vol at End of Fill","High/Max Level")</f>
        <v>High/Max Level</v>
      </c>
      <c r="F50" s="18" t="s">
        <v>13</v>
      </c>
      <c r="G50" s="67" t="s">
        <v>16</v>
      </c>
      <c r="H50" s="18" t="s">
        <v>41</v>
      </c>
      <c r="I50" s="70" t="s">
        <v>6</v>
      </c>
      <c r="J50" s="433" t="s">
        <v>11</v>
      </c>
      <c r="K50" s="434"/>
      <c r="L50" s="435"/>
      <c r="M50" s="51"/>
      <c r="N50" s="52"/>
      <c r="O50" s="94"/>
      <c r="P50" s="487"/>
      <c r="Q50" s="481"/>
      <c r="R50" s="481"/>
      <c r="S50" s="481"/>
      <c r="T50" s="481"/>
    </row>
    <row r="51" spans="2:20" ht="12.75" customHeight="1" x14ac:dyDescent="0.25">
      <c r="B51" s="92"/>
      <c r="C51" s="19"/>
      <c r="D51" s="20"/>
      <c r="E51" s="20"/>
      <c r="F51" s="20" t="s">
        <v>14</v>
      </c>
      <c r="G51" s="68" t="s">
        <v>15</v>
      </c>
      <c r="H51" s="20" t="s">
        <v>42</v>
      </c>
      <c r="I51" s="71" t="s">
        <v>15</v>
      </c>
      <c r="J51" s="20" t="s">
        <v>9</v>
      </c>
      <c r="K51" s="493" t="s">
        <v>232</v>
      </c>
      <c r="L51" s="46" t="s">
        <v>12</v>
      </c>
      <c r="M51" s="20" t="s">
        <v>24</v>
      </c>
      <c r="N51" s="23" t="s">
        <v>25</v>
      </c>
      <c r="O51" s="94"/>
      <c r="P51" s="8"/>
      <c r="Q51" s="481"/>
      <c r="R51" s="481"/>
      <c r="S51" s="481"/>
      <c r="T51" s="481"/>
    </row>
    <row r="52" spans="2:20" ht="26.25" customHeight="1" thickBot="1" x14ac:dyDescent="0.3">
      <c r="B52" s="92"/>
      <c r="C52" s="21"/>
      <c r="D52" s="22" t="str">
        <f>IF(D8="y","(gal)","(ft)")</f>
        <v>(ft)</v>
      </c>
      <c r="E52" s="22" t="str">
        <f>IF(D8="y","(gal)","(ft)")</f>
        <v>(ft)</v>
      </c>
      <c r="F52" s="22" t="s">
        <v>17</v>
      </c>
      <c r="G52" s="69" t="s">
        <v>17</v>
      </c>
      <c r="H52" s="22" t="s">
        <v>17</v>
      </c>
      <c r="I52" s="72" t="s">
        <v>17</v>
      </c>
      <c r="J52" s="305" t="s">
        <v>32</v>
      </c>
      <c r="K52" s="491" t="s">
        <v>233</v>
      </c>
      <c r="L52" s="305" t="s">
        <v>32</v>
      </c>
      <c r="M52" s="22" t="s">
        <v>58</v>
      </c>
      <c r="N52" s="87" t="s">
        <v>58</v>
      </c>
      <c r="O52" s="94"/>
      <c r="Q52" s="481"/>
      <c r="R52" s="481"/>
      <c r="S52" s="481"/>
      <c r="T52" s="481"/>
    </row>
    <row r="53" spans="2:20" ht="13" thickTop="1" x14ac:dyDescent="0.25">
      <c r="B53" s="92">
        <f t="shared" ref="B53:B67" si="3">IF(D53=0,0,1)</f>
        <v>0</v>
      </c>
      <c r="C53" s="73">
        <v>1</v>
      </c>
      <c r="D53" s="74">
        <f>IF(ISBLANK(E18),E19,E18)</f>
        <v>0</v>
      </c>
      <c r="E53" s="74">
        <f>IF(ISBLANK(F18),F19,F18)</f>
        <v>0</v>
      </c>
      <c r="F53" s="86" t="str">
        <f>IF(OR($D$7="c",$D$7="h"),($D53)*PI()*($D$10/2)^2*7.48/10^6,IF($D$7="r",$D53*$D$10*$D$11*7.48/10^6,IF($D$8="y",$D53/10^6,"error")))</f>
        <v>error</v>
      </c>
      <c r="G53" s="86" t="str">
        <f>IF(OR($D$7="c",$D$7="h"),($E53-$D53)*PI()*($D$10/2)^2*7.48/10^6,IF($D$7="r",($E53-$D53)*$D$10*$D$11*7.48/10^6,IF($D$8="y",($E53-$D53)/10^6,"error")))</f>
        <v>error</v>
      </c>
      <c r="H53" s="49"/>
      <c r="I53" s="75" t="str">
        <f>IF(D53+E53=0,"n/a",IF(OR($D$7="c",$D$7="h"),((D53+E53)/2)*PI()*($D$10/2)^2*7.48/10^6,IF($D$7="r",((D53+E53)/2)*$D$10*$D$11*7.48/10^6,IF($D$8="y",((D53+E53)/2)/10^6,""))))</f>
        <v>n/a</v>
      </c>
      <c r="J53" s="49" t="e">
        <f t="shared" ref="J53:J67" si="4">IF(G53=0,"n/a",G53/F53)</f>
        <v>#VALUE!</v>
      </c>
      <c r="K53" s="492" t="str">
        <f>IF(AND('Tank Summary'!$L$16="y",'Tank Summary'!$L$15 = "n"), IF(E53&lt;=$D$10, 10.2, 3.58*(E53/$D$10)+6.66), IF(AND('Tank Summary'!$L$16="y", 'Tank Summary'!$L$15="y"),IF(E53 &lt;= (PI()/4)*$D$10^3, 10.2, 3.58*(E53/$D$12)+6.66), "Tank mixing equations do not apply"))</f>
        <v>Tank mixing equations do not apply</v>
      </c>
      <c r="L53" s="76" t="e">
        <f>IF(F53=0,"n/a",((K53/1.13)*$D$13)/((F53*10^6/7.48)^(1/3)))</f>
        <v>#VALUE!</v>
      </c>
      <c r="M53" s="49" t="str">
        <f>IF(ISERROR(H19-H18),"n/a",IF(ISBLANK(E18), "n/a",H19-H18))</f>
        <v>n/a</v>
      </c>
      <c r="N53" s="50" t="str">
        <f>IF(ISERROR(H19-H18),"n/a",IF(ISBLANK(E18), H19-H18,"n/a"))</f>
        <v>n/a</v>
      </c>
      <c r="O53" s="94"/>
      <c r="Q53" s="481"/>
      <c r="R53" s="481"/>
      <c r="S53" s="481"/>
      <c r="T53" s="481"/>
    </row>
    <row r="54" spans="2:20" x14ac:dyDescent="0.25">
      <c r="B54" s="92">
        <f t="shared" si="3"/>
        <v>0</v>
      </c>
      <c r="C54" s="77">
        <v>2</v>
      </c>
      <c r="D54" s="74">
        <f>IF(ISBLANK(E20),E21,E20)</f>
        <v>0</v>
      </c>
      <c r="E54" s="74">
        <f>IF(ISBLANK(F20),F21,F20)</f>
        <v>0</v>
      </c>
      <c r="F54" s="32" t="str">
        <f>IF(OR($D$7="c",$D$7="h"),($D54)*PI()*($D$10/2)^2*7.48/10^6,IF($D$7="r",$D54*$D$10*$D$11*7.48/10^6,IF($D$8="y",$D54/10^6,"error")))</f>
        <v>error</v>
      </c>
      <c r="G54" s="32" t="str">
        <f>IF(OR($D$7="c",$D$7="h"),($E54-$D54)*PI()*($D$10/2)^2*7.48/10^6,IF($D$7="r",($E54-$D54)*$D$10*$D$11*7.48/10^6,IF($D$8="y",($E54-$D54)/10^6,"error")))</f>
        <v>error</v>
      </c>
      <c r="H54" s="49" t="str">
        <f>IF(D54,IF(OR($D$7="c",$D$7="h"),($E53-$D54)*PI()*($D$10/2)^2*7.48/10^6,IF($D$7="r",($E53-$D54)*$D$10*$D$11*7.48/10^6,IF($D$8="y",($E53-$D54)/10^6,""))),"")</f>
        <v/>
      </c>
      <c r="I54" s="75" t="str">
        <f>IF(D54+E54=0,"n/a",IF(OR($D$7="c",$D$7="h"),((D54+E54)/2)*PI()*($D$10/2)^2*7.48/10^6,IF($D$7="r",((D54+E54)/2)*$D$10*$D$11*7.48/10^6,IF($D$8="y",((D54+E54)/2)/10^6,""))))</f>
        <v>n/a</v>
      </c>
      <c r="J54" s="11" t="e">
        <f t="shared" si="4"/>
        <v>#VALUE!</v>
      </c>
      <c r="K54" s="492" t="str">
        <f>IF(AND('Tank Summary'!$L$16="y",'Tank Summary'!$L$15 = "n"), IF(E54&lt;=$D$10, 10.2, 3.58*(E54/$D$10)+6.66), IF(AND('Tank Summary'!$L$16="y", 'Tank Summary'!$L$15="y"),IF(E54 &lt;= (PI()/4)*$D$10^3, 10.2, 3.58*(E54/$D$12)+6.66), "Tank mixing equations do not apply"))</f>
        <v>Tank mixing equations do not apply</v>
      </c>
      <c r="L54" s="76" t="e">
        <f t="shared" ref="L54:L67" si="5">IF(F54=0,"n/a",((K54/1.13)*$D$13)/((F54*10^6/7.48)^(1/3)))</f>
        <v>#VALUE!</v>
      </c>
      <c r="M54" s="11" t="str">
        <f>IF(ISERROR(H21-H20),"n/a",IF(ISBLANK(E20), H20-H19,H21-H20))</f>
        <v>n/a</v>
      </c>
      <c r="N54" s="47" t="str">
        <f>IF(ISERROR(H21-H20),"n/a",IF(ISBLANK(E20), H21-H20,H20-H19))</f>
        <v>n/a</v>
      </c>
      <c r="O54" s="94"/>
      <c r="Q54" s="481"/>
      <c r="R54" s="481"/>
      <c r="S54" s="481"/>
      <c r="T54" s="481"/>
    </row>
    <row r="55" spans="2:20" x14ac:dyDescent="0.25">
      <c r="B55" s="92">
        <f t="shared" si="3"/>
        <v>0</v>
      </c>
      <c r="C55" s="77">
        <v>3</v>
      </c>
      <c r="D55" s="74">
        <f>IF(ISBLANK(E22),E23,E22)</f>
        <v>0</v>
      </c>
      <c r="E55" s="74">
        <f>IF(ISBLANK(F22),F23,F22)</f>
        <v>0</v>
      </c>
      <c r="F55" s="32" t="str">
        <f t="shared" ref="F55:F67" si="6">IF(OR($D$7="c",$D$7="h"),($D55)*PI()*($D$10/2)^2*7.48/10^6,IF($D$7="r",$D55*$D$10*$D$11*7.48/10^6,IF($D$8="y",$D55/10^6,"error")))</f>
        <v>error</v>
      </c>
      <c r="G55" s="32" t="str">
        <f t="shared" ref="G55:G67" si="7">IF(OR($D$7="c",$D$7="h"),($E55-$D55)*PI()*($D$10/2)^2*7.48/10^6,IF($D$7="r",($E55-$D55)*$D$10*$D$11*7.48/10^6,IF($D$8="y",($E55-$D55)/10^6,"error")))</f>
        <v>error</v>
      </c>
      <c r="H55" s="49" t="str">
        <f t="shared" ref="H55:H67" si="8">IF(D55,IF(OR($D$7="c",$D$7="h"),($E54-$D55)*PI()*($D$10/2)^2*7.48/10^6,IF($D$7="r",($E54-$D55)*$D$10*$D$11*7.48/10^6,IF($D$8="y",($E54-$D55)/10^6,""))),"")</f>
        <v/>
      </c>
      <c r="I55" s="75" t="str">
        <f t="shared" ref="I55:I67" si="9">IF(D55+E55=0,"n/a",IF(OR($D$7="c",$D$7="h"),((D55+E55)/2)*PI()*($D$10/2)^2*7.48/10^6,IF($D$7="r",((D55+E55)/2)*$D$10*$D$11*7.48/10^6,IF($D$8="y",((D55+E55)/2)/10^6,""))))</f>
        <v>n/a</v>
      </c>
      <c r="J55" s="11" t="e">
        <f t="shared" si="4"/>
        <v>#VALUE!</v>
      </c>
      <c r="K55" s="492" t="str">
        <f>IF(AND('Tank Summary'!$L$16="y",'Tank Summary'!$L$15 = "n"), IF(E55&lt;=$D$10, 10.2, 3.58*(E55/$D$10)+6.66), IF(AND('Tank Summary'!$L$16="y", 'Tank Summary'!$L$15="y"),IF(E55 &lt;= (PI()/4)*$D$10^3, 10.2, 3.58*(E55/$D$12)+6.66), "Tank mixing equations do not apply"))</f>
        <v>Tank mixing equations do not apply</v>
      </c>
      <c r="L55" s="76" t="e">
        <f t="shared" si="5"/>
        <v>#VALUE!</v>
      </c>
      <c r="M55" s="11" t="str">
        <f>IF(ISERROR(H23-H22),"n/a",IF(ISBLANK(E22), H22-H21,H23-H22))</f>
        <v>n/a</v>
      </c>
      <c r="N55" s="47" t="str">
        <f>IF(ISERROR(H23-H22),"n/a",IF(ISBLANK(E22), H23-H22,H22-H21))</f>
        <v>n/a</v>
      </c>
      <c r="O55" s="94"/>
      <c r="Q55" s="481"/>
      <c r="R55" s="481"/>
      <c r="S55" s="481"/>
      <c r="T55" s="481"/>
    </row>
    <row r="56" spans="2:20" x14ac:dyDescent="0.25">
      <c r="B56" s="92">
        <f t="shared" si="3"/>
        <v>0</v>
      </c>
      <c r="C56" s="77">
        <v>4</v>
      </c>
      <c r="D56" s="74">
        <f>IF(ISBLANK(E24),E25,E24)</f>
        <v>0</v>
      </c>
      <c r="E56" s="74">
        <f>IF(ISBLANK(F24),F25,F24)</f>
        <v>0</v>
      </c>
      <c r="F56" s="32" t="str">
        <f t="shared" si="6"/>
        <v>error</v>
      </c>
      <c r="G56" s="32" t="str">
        <f t="shared" si="7"/>
        <v>error</v>
      </c>
      <c r="H56" s="49" t="str">
        <f t="shared" si="8"/>
        <v/>
      </c>
      <c r="I56" s="75" t="str">
        <f t="shared" si="9"/>
        <v>n/a</v>
      </c>
      <c r="J56" s="11" t="e">
        <f t="shared" si="4"/>
        <v>#VALUE!</v>
      </c>
      <c r="K56" s="492" t="str">
        <f>IF(AND('Tank Summary'!$L$16="y",'Tank Summary'!$L$15 = "n"), IF(E56&lt;=$D$10, 10.2, 3.58*(E56/$D$10)+6.66), IF(AND('Tank Summary'!$L$16="y", 'Tank Summary'!$L$15="y"),IF(E56 &lt;= (PI()/4)*$D$10^3, 10.2, 3.58*(E56/$D$12)+6.66), "Tank mixing equations do not apply"))</f>
        <v>Tank mixing equations do not apply</v>
      </c>
      <c r="L56" s="76" t="e">
        <f t="shared" si="5"/>
        <v>#VALUE!</v>
      </c>
      <c r="M56" s="11" t="str">
        <f>IF(ISERROR(H25-H24),"n/a",IF(ISBLANK(E24), H24-H23,H25-H24))</f>
        <v>n/a</v>
      </c>
      <c r="N56" s="47" t="str">
        <f>IF(ISERROR(H25-H24),"n/a",IF(ISBLANK(E24), H25-H24,H24-H23))</f>
        <v>n/a</v>
      </c>
      <c r="O56" s="94"/>
      <c r="Q56" s="481"/>
      <c r="R56" s="481"/>
      <c r="S56" s="481"/>
      <c r="T56" s="481"/>
    </row>
    <row r="57" spans="2:20" x14ac:dyDescent="0.25">
      <c r="B57" s="92">
        <f t="shared" si="3"/>
        <v>0</v>
      </c>
      <c r="C57" s="77">
        <v>5</v>
      </c>
      <c r="D57" s="74">
        <f>IF(ISBLANK(E26),E27,E26)</f>
        <v>0</v>
      </c>
      <c r="E57" s="74">
        <f>IF(ISBLANK(F26),F27,F26)</f>
        <v>0</v>
      </c>
      <c r="F57" s="32" t="str">
        <f t="shared" si="6"/>
        <v>error</v>
      </c>
      <c r="G57" s="32" t="str">
        <f t="shared" si="7"/>
        <v>error</v>
      </c>
      <c r="H57" s="49" t="str">
        <f t="shared" si="8"/>
        <v/>
      </c>
      <c r="I57" s="75" t="str">
        <f t="shared" si="9"/>
        <v>n/a</v>
      </c>
      <c r="J57" s="11" t="e">
        <f t="shared" si="4"/>
        <v>#VALUE!</v>
      </c>
      <c r="K57" s="492" t="str">
        <f>IF(AND('Tank Summary'!$L$16="y",'Tank Summary'!$L$15 = "n"), IF(E57&lt;=$D$10, 10.2, 3.58*(E57/$D$10)+6.66), IF(AND('Tank Summary'!$L$16="y", 'Tank Summary'!$L$15="y"),IF(E57 &lt;= (PI()/4)*$D$10^3, 10.2, 3.58*(E57/$D$12)+6.66), "Tank mixing equations do not apply"))</f>
        <v>Tank mixing equations do not apply</v>
      </c>
      <c r="L57" s="76" t="e">
        <f t="shared" si="5"/>
        <v>#VALUE!</v>
      </c>
      <c r="M57" s="11" t="str">
        <f>IF(ISERROR(H27-H26),"n/a",IF(ISBLANK(E26), H26-H25,H27-H26))</f>
        <v>n/a</v>
      </c>
      <c r="N57" s="47" t="str">
        <f>IF(ISERROR(H27-H26),"n/a",IF(ISBLANK(E26), H27-H26,H26-H25))</f>
        <v>n/a</v>
      </c>
      <c r="O57" s="94"/>
      <c r="Q57" s="481"/>
      <c r="R57" s="481"/>
      <c r="S57" s="481"/>
      <c r="T57" s="481"/>
    </row>
    <row r="58" spans="2:20" x14ac:dyDescent="0.25">
      <c r="B58" s="92">
        <f t="shared" si="3"/>
        <v>0</v>
      </c>
      <c r="C58" s="77">
        <v>6</v>
      </c>
      <c r="D58" s="74">
        <f>IF(ISBLANK(E28),E29,E28)</f>
        <v>0</v>
      </c>
      <c r="E58" s="74">
        <f>IF(ISBLANK(F28),F29,F28)</f>
        <v>0</v>
      </c>
      <c r="F58" s="32" t="str">
        <f t="shared" si="6"/>
        <v>error</v>
      </c>
      <c r="G58" s="32" t="str">
        <f t="shared" si="7"/>
        <v>error</v>
      </c>
      <c r="H58" s="49" t="str">
        <f t="shared" si="8"/>
        <v/>
      </c>
      <c r="I58" s="75" t="str">
        <f t="shared" si="9"/>
        <v>n/a</v>
      </c>
      <c r="J58" s="11" t="e">
        <f t="shared" si="4"/>
        <v>#VALUE!</v>
      </c>
      <c r="K58" s="492" t="str">
        <f>IF(AND('Tank Summary'!$L$16="y",'Tank Summary'!$L$15 = "n"), IF(E58&lt;=$D$10, 10.2, 3.58*(E58/$D$10)+6.66), IF(AND('Tank Summary'!$L$16="y", 'Tank Summary'!$L$15="y"),IF(E58 &lt;= (PI()/4)*$D$10^3, 10.2, 3.58*(E58/$D$12)+6.66), "Tank mixing equations do not apply"))</f>
        <v>Tank mixing equations do not apply</v>
      </c>
      <c r="L58" s="76" t="e">
        <f t="shared" si="5"/>
        <v>#VALUE!</v>
      </c>
      <c r="M58" s="11" t="str">
        <f>IF(ISERROR(H29-H28),"n/a",IF(ISBLANK(E28), H28-H27,H29-H28))</f>
        <v>n/a</v>
      </c>
      <c r="N58" s="47" t="str">
        <f>IF(ISERROR(H29-H28),"n/a",IF(ISBLANK(E28), H29-H28,H28-H27))</f>
        <v>n/a</v>
      </c>
      <c r="O58" s="94"/>
      <c r="Q58" s="481"/>
      <c r="R58" s="481"/>
      <c r="S58" s="481"/>
      <c r="T58" s="481"/>
    </row>
    <row r="59" spans="2:20" x14ac:dyDescent="0.25">
      <c r="B59" s="92">
        <f t="shared" si="3"/>
        <v>0</v>
      </c>
      <c r="C59" s="77">
        <v>7</v>
      </c>
      <c r="D59" s="74">
        <f>IF(ISBLANK(E30),E31,E30)</f>
        <v>0</v>
      </c>
      <c r="E59" s="74">
        <f>IF(ISBLANK(F30),F31,F30)</f>
        <v>0</v>
      </c>
      <c r="F59" s="32" t="str">
        <f t="shared" si="6"/>
        <v>error</v>
      </c>
      <c r="G59" s="32" t="str">
        <f t="shared" si="7"/>
        <v>error</v>
      </c>
      <c r="H59" s="49" t="str">
        <f t="shared" si="8"/>
        <v/>
      </c>
      <c r="I59" s="75" t="str">
        <f t="shared" si="9"/>
        <v>n/a</v>
      </c>
      <c r="J59" s="11" t="e">
        <f t="shared" si="4"/>
        <v>#VALUE!</v>
      </c>
      <c r="K59" s="492" t="str">
        <f>IF(AND('Tank Summary'!$L$16="y",'Tank Summary'!$L$15 = "n"), IF(E59&lt;=$D$10, 10.2, 3.58*(E59/$D$10)+6.66), IF(AND('Tank Summary'!$L$16="y", 'Tank Summary'!$L$15="y"),IF(E59 &lt;= (PI()/4)*$D$10^3, 10.2, 3.58*(E59/$D$12)+6.66), "Tank mixing equations do not apply"))</f>
        <v>Tank mixing equations do not apply</v>
      </c>
      <c r="L59" s="76" t="e">
        <f t="shared" si="5"/>
        <v>#VALUE!</v>
      </c>
      <c r="M59" s="11" t="str">
        <f>IF(ISERROR(H31-H30),"n/a",IF(ISBLANK(E30), H30-H29,H31-H30))</f>
        <v>n/a</v>
      </c>
      <c r="N59" s="47" t="str">
        <f>IF(ISERROR(H31-H30),"n/a",IF(ISBLANK(E30), H31-H30,H30-H29))</f>
        <v>n/a</v>
      </c>
      <c r="O59" s="94"/>
      <c r="Q59" s="481"/>
      <c r="R59" s="481"/>
      <c r="S59" s="481"/>
      <c r="T59" s="481"/>
    </row>
    <row r="60" spans="2:20" x14ac:dyDescent="0.25">
      <c r="B60" s="92">
        <f t="shared" si="3"/>
        <v>0</v>
      </c>
      <c r="C60" s="77">
        <v>8</v>
      </c>
      <c r="D60" s="74">
        <f>IF(ISBLANK(E32),E33,E32)</f>
        <v>0</v>
      </c>
      <c r="E60" s="74">
        <f>IF(ISBLANK(F32),F33,F32)</f>
        <v>0</v>
      </c>
      <c r="F60" s="32" t="str">
        <f t="shared" si="6"/>
        <v>error</v>
      </c>
      <c r="G60" s="32" t="str">
        <f t="shared" si="7"/>
        <v>error</v>
      </c>
      <c r="H60" s="49" t="str">
        <f t="shared" si="8"/>
        <v/>
      </c>
      <c r="I60" s="75" t="str">
        <f t="shared" si="9"/>
        <v>n/a</v>
      </c>
      <c r="J60" s="11" t="e">
        <f t="shared" si="4"/>
        <v>#VALUE!</v>
      </c>
      <c r="K60" s="492" t="str">
        <f>IF(AND('Tank Summary'!$L$16="y",'Tank Summary'!$L$15 = "n"), IF(E60&lt;=$D$10, 10.2, 3.58*(E60/$D$10)+6.66), IF(AND('Tank Summary'!$L$16="y", 'Tank Summary'!$L$15="y"),IF(E60 &lt;= (PI()/4)*$D$10^3, 10.2, 3.58*(E60/$D$12)+6.66), "Tank mixing equations do not apply"))</f>
        <v>Tank mixing equations do not apply</v>
      </c>
      <c r="L60" s="76" t="e">
        <f t="shared" si="5"/>
        <v>#VALUE!</v>
      </c>
      <c r="M60" s="11" t="str">
        <f>IF(ISERROR(H33-H32),"n/a",IF(ISBLANK(E32), H32-H31,H33-H32))</f>
        <v>n/a</v>
      </c>
      <c r="N60" s="47" t="str">
        <f>IF(ISERROR(H33-H32),"n/a",IF(ISBLANK(E32), H33-H32,H32-H31))</f>
        <v>n/a</v>
      </c>
      <c r="O60" s="94"/>
      <c r="Q60" s="481"/>
      <c r="R60" s="481"/>
      <c r="S60" s="481"/>
      <c r="T60" s="481"/>
    </row>
    <row r="61" spans="2:20" x14ac:dyDescent="0.25">
      <c r="B61" s="92">
        <f t="shared" si="3"/>
        <v>0</v>
      </c>
      <c r="C61" s="77">
        <v>9</v>
      </c>
      <c r="D61" s="74">
        <f>IF(ISBLANK(E34),E35,E34)</f>
        <v>0</v>
      </c>
      <c r="E61" s="74">
        <f>IF(ISBLANK(F34),F35,F34)</f>
        <v>0</v>
      </c>
      <c r="F61" s="32" t="str">
        <f t="shared" si="6"/>
        <v>error</v>
      </c>
      <c r="G61" s="32" t="str">
        <f t="shared" si="7"/>
        <v>error</v>
      </c>
      <c r="H61" s="49" t="str">
        <f t="shared" si="8"/>
        <v/>
      </c>
      <c r="I61" s="75" t="str">
        <f t="shared" si="9"/>
        <v>n/a</v>
      </c>
      <c r="J61" s="11" t="e">
        <f t="shared" si="4"/>
        <v>#VALUE!</v>
      </c>
      <c r="K61" s="492" t="str">
        <f>IF(AND('Tank Summary'!$L$16="y",'Tank Summary'!$L$15 = "n"), IF(E61&lt;=$D$10, 10.2, 3.58*(E61/$D$10)+6.66), IF(AND('Tank Summary'!$L$16="y", 'Tank Summary'!$L$15="y"),IF(E61 &lt;= (PI()/4)*$D$10^3, 10.2, 3.58*(E61/$D$12)+6.66), "Tank mixing equations do not apply"))</f>
        <v>Tank mixing equations do not apply</v>
      </c>
      <c r="L61" s="76" t="e">
        <f t="shared" si="5"/>
        <v>#VALUE!</v>
      </c>
      <c r="M61" s="11" t="str">
        <f>IF(ISERROR(H35-H34),"n/a",IF(ISBLANK(E34), H34-H33,H35-H34))</f>
        <v>n/a</v>
      </c>
      <c r="N61" s="47" t="str">
        <f>IF(ISERROR(H35-H34),"n/a",IF(ISBLANK(E34), H35-H34,H34-H33))</f>
        <v>n/a</v>
      </c>
      <c r="O61" s="94"/>
      <c r="Q61" s="481"/>
      <c r="R61" s="481"/>
      <c r="S61" s="481"/>
      <c r="T61" s="481"/>
    </row>
    <row r="62" spans="2:20" x14ac:dyDescent="0.25">
      <c r="B62" s="92">
        <f t="shared" si="3"/>
        <v>0</v>
      </c>
      <c r="C62" s="77">
        <v>10</v>
      </c>
      <c r="D62" s="74">
        <f>IF(ISBLANK(E36),E37,E36)</f>
        <v>0</v>
      </c>
      <c r="E62" s="74">
        <f>IF(ISBLANK(F36),F37,F36)</f>
        <v>0</v>
      </c>
      <c r="F62" s="32" t="str">
        <f t="shared" si="6"/>
        <v>error</v>
      </c>
      <c r="G62" s="32" t="str">
        <f t="shared" si="7"/>
        <v>error</v>
      </c>
      <c r="H62" s="49" t="str">
        <f t="shared" si="8"/>
        <v/>
      </c>
      <c r="I62" s="75" t="str">
        <f t="shared" si="9"/>
        <v>n/a</v>
      </c>
      <c r="J62" s="11" t="e">
        <f t="shared" si="4"/>
        <v>#VALUE!</v>
      </c>
      <c r="K62" s="492" t="str">
        <f>IF(AND('Tank Summary'!$L$16="y",'Tank Summary'!$L$15 = "n"), IF(E62&lt;=$D$10, 10.2, 3.58*(E62/$D$10)+6.66), IF(AND('Tank Summary'!$L$16="y", 'Tank Summary'!$L$15="y"),IF(E62 &lt;= (PI()/4)*$D$10^3, 10.2, 3.58*(E62/$D$12)+6.66), "Tank mixing equations do not apply"))</f>
        <v>Tank mixing equations do not apply</v>
      </c>
      <c r="L62" s="76" t="e">
        <f t="shared" si="5"/>
        <v>#VALUE!</v>
      </c>
      <c r="M62" s="11" t="str">
        <f>IF(ISERROR(H37-H36),"n/a",IF(ISBLANK(E36), H36-H35,H37-H36))</f>
        <v>n/a</v>
      </c>
      <c r="N62" s="47" t="str">
        <f>IF(ISERROR(H37-H36),"n/a",IF(ISBLANK(E36), H37-H36,H36-H35))</f>
        <v>n/a</v>
      </c>
      <c r="O62" s="94"/>
      <c r="Q62" s="481"/>
      <c r="R62" s="481"/>
      <c r="S62" s="481"/>
      <c r="T62" s="481"/>
    </row>
    <row r="63" spans="2:20" x14ac:dyDescent="0.25">
      <c r="B63" s="92">
        <f t="shared" si="3"/>
        <v>0</v>
      </c>
      <c r="C63" s="77">
        <v>11</v>
      </c>
      <c r="D63" s="74">
        <f>IF(ISBLANK(E38),E39,E38)</f>
        <v>0</v>
      </c>
      <c r="E63" s="74">
        <f>IF(ISBLANK(F38),F39,F38)</f>
        <v>0</v>
      </c>
      <c r="F63" s="32" t="str">
        <f t="shared" si="6"/>
        <v>error</v>
      </c>
      <c r="G63" s="32" t="str">
        <f t="shared" si="7"/>
        <v>error</v>
      </c>
      <c r="H63" s="49" t="str">
        <f t="shared" si="8"/>
        <v/>
      </c>
      <c r="I63" s="75" t="str">
        <f t="shared" si="9"/>
        <v>n/a</v>
      </c>
      <c r="J63" s="11" t="e">
        <f t="shared" si="4"/>
        <v>#VALUE!</v>
      </c>
      <c r="K63" s="492" t="str">
        <f>IF(AND('Tank Summary'!$L$16="y",'Tank Summary'!$L$15 = "n"), IF(E63&lt;=$D$10, 10.2, 3.58*(E63/$D$10)+6.66), IF(AND('Tank Summary'!$L$16="y", 'Tank Summary'!$L$15="y"),IF(E63 &lt;= (PI()/4)*$D$10^3, 10.2, 3.58*(E63/$D$12)+6.66), "Tank mixing equations do not apply"))</f>
        <v>Tank mixing equations do not apply</v>
      </c>
      <c r="L63" s="76" t="e">
        <f t="shared" si="5"/>
        <v>#VALUE!</v>
      </c>
      <c r="M63" s="11" t="str">
        <f>IF(ISERROR(H39-H38),"n/a",IF(ISBLANK(E38), H38-H37,H39-H38))</f>
        <v>n/a</v>
      </c>
      <c r="N63" s="47" t="str">
        <f>IF(ISERROR(H39-H38),"n/a",IF(ISBLANK(E38), H39-H38,H38-H37))</f>
        <v>n/a</v>
      </c>
      <c r="O63" s="94"/>
      <c r="Q63" s="481"/>
      <c r="R63" s="481"/>
      <c r="S63" s="481"/>
      <c r="T63" s="481"/>
    </row>
    <row r="64" spans="2:20" x14ac:dyDescent="0.25">
      <c r="B64" s="92">
        <f t="shared" si="3"/>
        <v>0</v>
      </c>
      <c r="C64" s="77">
        <v>12</v>
      </c>
      <c r="D64" s="74">
        <f>IF(ISBLANK(E40),E41,E40)</f>
        <v>0</v>
      </c>
      <c r="E64" s="74">
        <f>IF(ISBLANK(F40),F41,F40)</f>
        <v>0</v>
      </c>
      <c r="F64" s="32" t="str">
        <f t="shared" si="6"/>
        <v>error</v>
      </c>
      <c r="G64" s="32" t="str">
        <f t="shared" si="7"/>
        <v>error</v>
      </c>
      <c r="H64" s="49" t="str">
        <f t="shared" si="8"/>
        <v/>
      </c>
      <c r="I64" s="75" t="str">
        <f t="shared" si="9"/>
        <v>n/a</v>
      </c>
      <c r="J64" s="11" t="e">
        <f t="shared" si="4"/>
        <v>#VALUE!</v>
      </c>
      <c r="K64" s="492" t="str">
        <f>IF(AND('Tank Summary'!$L$16="y",'Tank Summary'!$L$15 = "n"), IF(E64&lt;=$D$10, 10.2, 3.58*(E64/$D$10)+6.66), IF(AND('Tank Summary'!$L$16="y", 'Tank Summary'!$L$15="y"),IF(E64 &lt;= (PI()/4)*$D$10^3, 10.2, 3.58*(E64/$D$12)+6.66), "Tank mixing equations do not apply"))</f>
        <v>Tank mixing equations do not apply</v>
      </c>
      <c r="L64" s="76" t="e">
        <f t="shared" si="5"/>
        <v>#VALUE!</v>
      </c>
      <c r="M64" s="11" t="str">
        <f>IF(ISERROR(H41-H40),"n/a",IF(ISBLANK(E40), H40-H39,H41-H40))</f>
        <v>n/a</v>
      </c>
      <c r="N64" s="47" t="str">
        <f>IF(ISERROR(H41-H40),"n/a",IF(ISBLANK(E40), H41-H40,H40-H39))</f>
        <v>n/a</v>
      </c>
      <c r="O64" s="94"/>
      <c r="Q64" s="481"/>
      <c r="R64" s="481"/>
      <c r="S64" s="481"/>
      <c r="T64" s="481"/>
    </row>
    <row r="65" spans="1:20" x14ac:dyDescent="0.25">
      <c r="B65" s="92">
        <f t="shared" si="3"/>
        <v>0</v>
      </c>
      <c r="C65" s="77">
        <v>13</v>
      </c>
      <c r="D65" s="74">
        <f>IF(ISBLANK(E42),E43,E42)</f>
        <v>0</v>
      </c>
      <c r="E65" s="74">
        <f>IF(ISBLANK(F42),F43,F42)</f>
        <v>0</v>
      </c>
      <c r="F65" s="32" t="str">
        <f t="shared" si="6"/>
        <v>error</v>
      </c>
      <c r="G65" s="32" t="str">
        <f t="shared" si="7"/>
        <v>error</v>
      </c>
      <c r="H65" s="49" t="str">
        <f t="shared" si="8"/>
        <v/>
      </c>
      <c r="I65" s="75" t="str">
        <f t="shared" si="9"/>
        <v>n/a</v>
      </c>
      <c r="J65" s="11" t="e">
        <f t="shared" si="4"/>
        <v>#VALUE!</v>
      </c>
      <c r="K65" s="492" t="str">
        <f>IF(AND('Tank Summary'!$L$16="y",'Tank Summary'!$L$15 = "n"), IF(E65&lt;=$D$10, 10.2, 3.58*(E65/$D$10)+6.66), IF(AND('Tank Summary'!$L$16="y", 'Tank Summary'!$L$15="y"),IF(E65 &lt;= (PI()/4)*$D$10^3, 10.2, 3.58*(E65/$D$12)+6.66), "Tank mixing equations do not apply"))</f>
        <v>Tank mixing equations do not apply</v>
      </c>
      <c r="L65" s="76" t="e">
        <f t="shared" si="5"/>
        <v>#VALUE!</v>
      </c>
      <c r="M65" s="11" t="str">
        <f>IF(ISERROR(H43-H42),"n/a",IF(ISBLANK(E42), H42-H41,H43-H42))</f>
        <v>n/a</v>
      </c>
      <c r="N65" s="47" t="str">
        <f>IF(ISERROR(H43-H42),"n/a",IF(ISBLANK(E42), H43-H42,H42-H41))</f>
        <v>n/a</v>
      </c>
      <c r="O65" s="94"/>
      <c r="Q65" s="481"/>
      <c r="R65" s="481"/>
      <c r="S65" s="481"/>
      <c r="T65" s="481"/>
    </row>
    <row r="66" spans="1:20" x14ac:dyDescent="0.25">
      <c r="B66" s="92">
        <f t="shared" si="3"/>
        <v>0</v>
      </c>
      <c r="C66" s="77">
        <v>14</v>
      </c>
      <c r="D66" s="74">
        <f>IF(ISBLANK(E44),E45,E44)</f>
        <v>0</v>
      </c>
      <c r="E66" s="74">
        <f>IF(ISBLANK(F44),F45,F44)</f>
        <v>0</v>
      </c>
      <c r="F66" s="32" t="str">
        <f t="shared" si="6"/>
        <v>error</v>
      </c>
      <c r="G66" s="32" t="str">
        <f t="shared" si="7"/>
        <v>error</v>
      </c>
      <c r="H66" s="49" t="str">
        <f t="shared" si="8"/>
        <v/>
      </c>
      <c r="I66" s="75" t="str">
        <f t="shared" si="9"/>
        <v>n/a</v>
      </c>
      <c r="J66" s="11" t="e">
        <f t="shared" si="4"/>
        <v>#VALUE!</v>
      </c>
      <c r="K66" s="492" t="str">
        <f>IF(AND('Tank Summary'!$L$16="y",'Tank Summary'!$L$15 = "n"), IF(E66&lt;=$D$10, 10.2, 3.58*(E66/$D$10)+6.66), IF(AND('Tank Summary'!$L$16="y", 'Tank Summary'!$L$15="y"),IF(E66 &lt;= (PI()/4)*$D$10^3, 10.2, 3.58*(E66/$D$12)+6.66), "Tank mixing equations do not apply"))</f>
        <v>Tank mixing equations do not apply</v>
      </c>
      <c r="L66" s="76" t="e">
        <f t="shared" si="5"/>
        <v>#VALUE!</v>
      </c>
      <c r="M66" s="11" t="str">
        <f>IF(ISERROR(H45-H44),"n/a",IF(ISBLANK(E44), H44-H43,H45-H44))</f>
        <v>n/a</v>
      </c>
      <c r="N66" s="47" t="str">
        <f>IF(ISERROR(H45-H44),"n/a",IF(ISBLANK(E44), H45-H44,H44-H43))</f>
        <v>n/a</v>
      </c>
      <c r="O66" s="94"/>
      <c r="Q66" s="481"/>
      <c r="R66" s="481"/>
      <c r="S66" s="481"/>
      <c r="T66" s="481"/>
    </row>
    <row r="67" spans="1:20" ht="13" thickBot="1" x14ac:dyDescent="0.3">
      <c r="B67" s="92">
        <f t="shared" si="3"/>
        <v>0</v>
      </c>
      <c r="C67" s="78">
        <v>15</v>
      </c>
      <c r="D67" s="79">
        <f>IF(ISBLANK(E46),E47,E46)</f>
        <v>0</v>
      </c>
      <c r="E67" s="79">
        <f>IF(ISBLANK(F46),F47,F46)</f>
        <v>0</v>
      </c>
      <c r="F67" s="127" t="str">
        <f t="shared" si="6"/>
        <v>error</v>
      </c>
      <c r="G67" s="127" t="str">
        <f t="shared" si="7"/>
        <v>error</v>
      </c>
      <c r="H67" s="128" t="str">
        <f t="shared" si="8"/>
        <v/>
      </c>
      <c r="I67" s="129" t="str">
        <f t="shared" si="9"/>
        <v>n/a</v>
      </c>
      <c r="J67" s="48" t="e">
        <f t="shared" si="4"/>
        <v>#VALUE!</v>
      </c>
      <c r="K67" s="492" t="str">
        <f>IF(AND('Tank Summary'!$L$16="y",'Tank Summary'!$L$15 = "n"), IF(E67&lt;=$D$10, 10.2, 3.58*(E67/$D$10)+6.66), IF(AND('Tank Summary'!$L$16="y", 'Tank Summary'!$L$15="y"),IF(E67 &lt;= (PI()/4)*$D$10^3, 10.2, 3.58*(E67/$D$12)+6.66), "Tank mixing equations do not apply"))</f>
        <v>Tank mixing equations do not apply</v>
      </c>
      <c r="L67" s="48" t="e">
        <f t="shared" si="5"/>
        <v>#VALUE!</v>
      </c>
      <c r="M67" s="48" t="str">
        <f>IF(ISERROR(H47-H46),"n/a",IF(ISBLANK(E46), H46-H45,H47-H46))</f>
        <v>n/a</v>
      </c>
      <c r="N67" s="65" t="str">
        <f>IF(ISERROR(H47-H46),"n/a",IF(ISBLANK(E46), H47-H46,H46-H45))</f>
        <v>n/a</v>
      </c>
      <c r="O67" s="94"/>
      <c r="Q67" s="481"/>
      <c r="R67" s="481"/>
      <c r="S67" s="481"/>
      <c r="T67" s="481"/>
    </row>
    <row r="68" spans="1:20" ht="13" x14ac:dyDescent="0.3">
      <c r="B68" s="92"/>
      <c r="C68" s="8"/>
      <c r="D68" s="25"/>
      <c r="E68" s="26"/>
      <c r="F68" s="26"/>
      <c r="G68" s="26"/>
      <c r="H68" s="26"/>
      <c r="I68" s="27"/>
      <c r="J68" s="27"/>
      <c r="K68" s="27"/>
      <c r="L68" s="8"/>
      <c r="M68" s="98"/>
      <c r="N68" s="8"/>
      <c r="O68" s="94"/>
      <c r="Q68" s="481"/>
      <c r="R68" s="481"/>
      <c r="S68" s="481"/>
      <c r="T68" s="481"/>
    </row>
    <row r="69" spans="1:20" ht="13.5" thickBot="1" x14ac:dyDescent="0.35">
      <c r="A69" s="94"/>
      <c r="B69" s="92"/>
      <c r="C69" s="99" t="s">
        <v>40</v>
      </c>
      <c r="D69" s="8"/>
      <c r="E69" s="8"/>
      <c r="F69" s="8"/>
      <c r="G69" s="27"/>
      <c r="H69" s="366"/>
      <c r="I69" s="366" t="s">
        <v>18</v>
      </c>
      <c r="J69" s="366"/>
      <c r="K69" s="366"/>
      <c r="L69" s="100"/>
      <c r="M69" s="98"/>
      <c r="N69" s="27"/>
      <c r="O69" s="94"/>
      <c r="Q69" s="481"/>
      <c r="R69" s="481"/>
      <c r="S69" s="481"/>
      <c r="T69" s="481"/>
    </row>
    <row r="70" spans="1:20" ht="13" x14ac:dyDescent="0.3">
      <c r="B70" s="92"/>
      <c r="C70" s="57" t="s">
        <v>39</v>
      </c>
      <c r="D70" s="58"/>
      <c r="E70" s="61" t="e">
        <f>SUM(G53:G67)/COUNTIF(G53:G67,"&gt;0")</f>
        <v>#DIV/0!</v>
      </c>
      <c r="F70" s="52" t="s">
        <v>4</v>
      </c>
      <c r="G70" s="27"/>
      <c r="H70" s="7" t="str">
        <f>IF(D8="y","Avg Vol at Start of Fill","Avg Min Water Level")</f>
        <v>Avg Min Water Level</v>
      </c>
      <c r="I70" s="38"/>
      <c r="J70" s="35" t="e">
        <f>IF('Tank Summary'!L16="n","",SUM(D53:D67)/SUM(B53:B67))</f>
        <v>#DIV/0!</v>
      </c>
      <c r="K70" s="15" t="str">
        <f>IF(D8="y","gal","ft")</f>
        <v>ft</v>
      </c>
      <c r="L70" s="8"/>
      <c r="M70" s="8"/>
      <c r="N70" s="98"/>
      <c r="O70" s="94"/>
      <c r="Q70" s="481"/>
      <c r="R70" s="481"/>
      <c r="S70" s="481"/>
      <c r="T70" s="481"/>
    </row>
    <row r="71" spans="1:20" ht="13" x14ac:dyDescent="0.3">
      <c r="B71" s="92"/>
      <c r="C71" s="4" t="s">
        <v>43</v>
      </c>
      <c r="D71" s="55"/>
      <c r="E71" s="2" t="e">
        <f>SUM(H53:H67)/COUNTIF(H53:H67,"&gt;0")</f>
        <v>#DIV/0!</v>
      </c>
      <c r="F71" s="5" t="s">
        <v>5</v>
      </c>
      <c r="G71" s="8"/>
      <c r="H71" s="39" t="s">
        <v>55</v>
      </c>
      <c r="I71" s="37"/>
      <c r="J71" s="36" t="e">
        <f>IF('Tank Summary'!L16="n","",AVERAGE(J53:J67))</f>
        <v>#VALUE!</v>
      </c>
      <c r="K71" s="16"/>
      <c r="L71" s="8"/>
      <c r="M71" s="8"/>
      <c r="N71" s="8"/>
      <c r="O71" s="94"/>
    </row>
    <row r="72" spans="1:20" ht="13" x14ac:dyDescent="0.3">
      <c r="B72" s="92"/>
      <c r="C72" s="39" t="s">
        <v>36</v>
      </c>
      <c r="D72" s="63"/>
      <c r="E72" s="130" t="e">
        <f>AVERAGE(M53:M67)</f>
        <v>#DIV/0!</v>
      </c>
      <c r="F72" s="16" t="s">
        <v>2</v>
      </c>
      <c r="G72" s="8"/>
      <c r="H72" s="39" t="s">
        <v>56</v>
      </c>
      <c r="I72" s="37"/>
      <c r="J72" s="36" t="e">
        <f>IF('Tank Summary'!L16="n","",AVERAGE(L53:L67))</f>
        <v>#VALUE!</v>
      </c>
      <c r="K72" s="16"/>
      <c r="L72" s="8"/>
      <c r="M72" s="8"/>
      <c r="N72" s="8"/>
      <c r="O72" s="94"/>
    </row>
    <row r="73" spans="1:20" ht="13" x14ac:dyDescent="0.3">
      <c r="B73" s="92"/>
      <c r="C73" s="39" t="s">
        <v>37</v>
      </c>
      <c r="D73" s="63"/>
      <c r="E73" s="131" t="e">
        <f>AVERAGE(N53:N67)</f>
        <v>#DIV/0!</v>
      </c>
      <c r="F73" s="62" t="s">
        <v>2</v>
      </c>
      <c r="G73" s="8"/>
      <c r="H73" s="39" t="str">
        <f>IF(D8="y","Avg Measured Vol Change","Avg Measured Water Level Change")</f>
        <v>Avg Measured Water Level Change</v>
      </c>
      <c r="I73" s="37"/>
      <c r="J73" s="83" t="e">
        <f>IF('Tank Summary'!L16="n","",(SUM(E53:E67)/SUM(B53:B67))-J70)</f>
        <v>#DIV/0!</v>
      </c>
      <c r="K73" s="16" t="str">
        <f>IF(D8="y","gal","ft")</f>
        <v>ft</v>
      </c>
      <c r="L73" s="8"/>
      <c r="M73" s="8"/>
      <c r="N73" s="8"/>
      <c r="O73" s="94"/>
    </row>
    <row r="74" spans="1:20" ht="24.75" customHeight="1" x14ac:dyDescent="0.3">
      <c r="B74" s="92"/>
      <c r="C74" s="39" t="s">
        <v>28</v>
      </c>
      <c r="D74" s="63"/>
      <c r="E74" s="34" t="e">
        <f>E70*10^6/(E72*24*60)</f>
        <v>#DIV/0!</v>
      </c>
      <c r="F74" s="41" t="s">
        <v>26</v>
      </c>
      <c r="G74" s="8"/>
      <c r="H74" s="505" t="str">
        <f>IF(D8="y","Desired Vol Change Needed for Good Mixing","Desired Water Level Change Needed for Good Mixing")</f>
        <v>Desired Water Level Change Needed for Good Mixing</v>
      </c>
      <c r="I74" s="506"/>
      <c r="J74" s="45" t="e">
        <f>IF('Tank Summary'!L16="n","",$J$70*J72)</f>
        <v>#DIV/0!</v>
      </c>
      <c r="K74" s="43" t="str">
        <f>IF(D8="y","gal","ft")</f>
        <v>ft</v>
      </c>
      <c r="L74" s="8"/>
      <c r="M74" s="8"/>
      <c r="N74" s="8"/>
      <c r="O74" s="94"/>
    </row>
    <row r="75" spans="1:20" ht="24.75" customHeight="1" x14ac:dyDescent="0.3">
      <c r="B75" s="92"/>
      <c r="C75" s="39" t="s">
        <v>29</v>
      </c>
      <c r="D75" s="63"/>
      <c r="E75" s="34" t="e">
        <f>E71*10^6/(E73*24*60)</f>
        <v>#DIV/0!</v>
      </c>
      <c r="F75" s="41" t="s">
        <v>26</v>
      </c>
      <c r="G75" s="8"/>
      <c r="H75" s="39" t="s">
        <v>57</v>
      </c>
      <c r="I75" s="432"/>
      <c r="J75" s="160" t="e">
        <f>IF('Tank Summary'!L16="n","",J73/J74)</f>
        <v>#DIV/0!</v>
      </c>
      <c r="K75" s="5"/>
      <c r="L75" s="8"/>
      <c r="M75" s="8"/>
      <c r="N75" s="8"/>
      <c r="O75" s="94"/>
    </row>
    <row r="76" spans="1:20" ht="27" customHeight="1" thickBot="1" x14ac:dyDescent="0.35">
      <c r="B76" s="92"/>
      <c r="C76" s="59" t="s">
        <v>38</v>
      </c>
      <c r="D76" s="60"/>
      <c r="E76" s="64" t="e">
        <f>E72+E73</f>
        <v>#DIV/0!</v>
      </c>
      <c r="F76" s="24" t="s">
        <v>2</v>
      </c>
      <c r="G76" s="8"/>
      <c r="H76" s="42" t="s">
        <v>54</v>
      </c>
      <c r="I76" s="431"/>
      <c r="J76" s="44" t="e">
        <f>IF('Tank Summary'!L16="n","",(((((SUM(F53:F67)/SUM(B53:B67))*10^6/7.48)^(1/3))*$J$71)/9)*12)</f>
        <v>#DIV/0!</v>
      </c>
      <c r="K76" s="3" t="s">
        <v>31</v>
      </c>
      <c r="L76" s="8"/>
      <c r="M76" s="8"/>
      <c r="N76" s="8"/>
      <c r="O76" s="94"/>
    </row>
    <row r="77" spans="1:20" ht="14.25" customHeight="1" x14ac:dyDescent="0.3">
      <c r="B77" s="92"/>
      <c r="C77" s="39" t="s">
        <v>53</v>
      </c>
      <c r="D77" s="56"/>
      <c r="E77" s="36" t="e">
        <f>E70/E76</f>
        <v>#DIV/0!</v>
      </c>
      <c r="F77" s="5" t="s">
        <v>3</v>
      </c>
      <c r="G77" s="8"/>
      <c r="H77" s="8"/>
      <c r="I77" s="507" t="str">
        <f>IF('Tank Summary'!L26="no","The tank mixing equations are not applicable.",IF(J73&lt;J74,"Mixing is at an undesirable level, use Mixing Analysis (Section II) to determine strategies that will increase mixing.","Mixing is at a desired level."))</f>
        <v>The tank mixing equations are not applicable.</v>
      </c>
      <c r="J77" s="507"/>
      <c r="K77" s="507"/>
      <c r="L77" s="508"/>
      <c r="M77" s="8"/>
      <c r="N77" s="8"/>
      <c r="O77" s="94"/>
    </row>
    <row r="78" spans="1:20" ht="13" x14ac:dyDescent="0.3">
      <c r="B78" s="92"/>
      <c r="C78" s="39" t="s">
        <v>44</v>
      </c>
      <c r="D78" s="56"/>
      <c r="E78" s="36" t="e">
        <f>AVERAGE(I53:I67)</f>
        <v>#DIV/0!</v>
      </c>
      <c r="F78" s="5" t="s">
        <v>5</v>
      </c>
      <c r="G78" s="8"/>
      <c r="H78" s="8"/>
      <c r="I78" s="508"/>
      <c r="J78" s="508"/>
      <c r="K78" s="508"/>
      <c r="L78" s="508"/>
      <c r="M78" s="8"/>
      <c r="N78" s="8"/>
      <c r="O78" s="94"/>
    </row>
    <row r="79" spans="1:20" ht="13.5" thickBot="1" x14ac:dyDescent="0.35">
      <c r="B79" s="92"/>
      <c r="C79" s="42" t="s">
        <v>8</v>
      </c>
      <c r="D79" s="40"/>
      <c r="E79" s="54" t="e">
        <f>E78/E77</f>
        <v>#DIV/0!</v>
      </c>
      <c r="F79" s="6" t="s">
        <v>2</v>
      </c>
      <c r="G79" s="8"/>
      <c r="H79" s="8"/>
      <c r="I79" s="508"/>
      <c r="J79" s="508"/>
      <c r="K79" s="508"/>
      <c r="L79" s="508"/>
      <c r="M79" s="8"/>
      <c r="N79" s="8"/>
      <c r="O79" s="94"/>
    </row>
    <row r="80" spans="1:20" ht="12.75" customHeight="1" x14ac:dyDescent="0.3">
      <c r="B80" s="92"/>
      <c r="C80" s="93"/>
      <c r="D80" s="503" t="e">
        <f>IF(E79&gt;5, "Turnover time is at an undesirable level, use Turnover Time Analysis (Step 2) to determine operational strategies that will reduce turnover time.","Turnover Time is at a desired level.")</f>
        <v>#DIV/0!</v>
      </c>
      <c r="E80" s="503"/>
      <c r="F80" s="503"/>
      <c r="G80" s="8"/>
      <c r="H80" s="126"/>
      <c r="I80" s="508"/>
      <c r="J80" s="508"/>
      <c r="K80" s="508"/>
      <c r="L80" s="508"/>
      <c r="M80" s="8"/>
      <c r="N80" s="8"/>
      <c r="O80" s="94"/>
    </row>
    <row r="81" spans="2:15" ht="11.25" customHeight="1" x14ac:dyDescent="0.3">
      <c r="B81" s="92"/>
      <c r="C81" s="8"/>
      <c r="D81" s="504"/>
      <c r="E81" s="504"/>
      <c r="F81" s="504"/>
      <c r="G81" s="8"/>
      <c r="H81" s="126"/>
      <c r="I81" s="82"/>
      <c r="J81" s="82"/>
      <c r="K81" s="82"/>
      <c r="L81" s="82"/>
      <c r="M81" s="8"/>
      <c r="N81" s="8"/>
      <c r="O81" s="94"/>
    </row>
    <row r="82" spans="2:15" ht="12.75" customHeight="1" x14ac:dyDescent="0.25">
      <c r="B82" s="92"/>
      <c r="C82" s="8"/>
      <c r="D82" s="504"/>
      <c r="E82" s="504"/>
      <c r="F82" s="504"/>
      <c r="G82" s="8"/>
      <c r="H82" s="8"/>
      <c r="I82" s="8"/>
      <c r="J82" s="29"/>
      <c r="K82" s="29"/>
      <c r="L82" s="8"/>
      <c r="M82" s="8"/>
      <c r="N82" s="8"/>
      <c r="O82" s="94"/>
    </row>
    <row r="83" spans="2:15" ht="16.5" customHeight="1" x14ac:dyDescent="0.25">
      <c r="B83" s="92"/>
      <c r="C83" s="8"/>
      <c r="D83" s="504"/>
      <c r="E83" s="504"/>
      <c r="F83" s="504"/>
      <c r="G83" s="8"/>
      <c r="H83" s="8"/>
      <c r="I83" s="8"/>
      <c r="J83" s="29"/>
      <c r="K83" s="29"/>
      <c r="L83" s="8"/>
      <c r="M83" s="8"/>
      <c r="N83" s="8"/>
      <c r="O83" s="94"/>
    </row>
    <row r="84" spans="2:15" ht="13" thickBot="1" x14ac:dyDescent="0.3">
      <c r="B84" s="101"/>
      <c r="C84" s="102"/>
      <c r="D84" s="102"/>
      <c r="E84" s="102"/>
      <c r="F84" s="102"/>
      <c r="G84" s="102"/>
      <c r="H84" s="102"/>
      <c r="I84" s="102"/>
      <c r="J84" s="102"/>
      <c r="K84" s="102"/>
      <c r="L84" s="102"/>
      <c r="M84" s="102"/>
      <c r="N84" s="102"/>
      <c r="O84" s="103"/>
    </row>
    <row r="85" spans="2:15" ht="18.5" thickBot="1" x14ac:dyDescent="0.45">
      <c r="B85" s="116" t="s">
        <v>188</v>
      </c>
      <c r="C85" s="111"/>
      <c r="D85" s="111"/>
      <c r="E85" s="120"/>
      <c r="F85" s="121"/>
      <c r="G85" s="111"/>
      <c r="H85" s="111"/>
      <c r="I85" s="111"/>
      <c r="J85" s="111"/>
      <c r="K85" s="111"/>
      <c r="L85" s="118"/>
      <c r="M85" s="118"/>
      <c r="N85" s="118"/>
      <c r="O85" s="119"/>
    </row>
    <row r="86" spans="2:15" x14ac:dyDescent="0.25">
      <c r="B86" s="92"/>
      <c r="C86" s="29"/>
      <c r="D86" s="29"/>
      <c r="E86" s="29"/>
      <c r="F86" s="29"/>
      <c r="G86" s="29"/>
      <c r="H86" s="29"/>
      <c r="I86" s="29"/>
      <c r="J86" s="29"/>
      <c r="K86" s="29"/>
      <c r="L86" s="8"/>
      <c r="M86" s="8"/>
      <c r="N86" s="8"/>
      <c r="O86" s="94"/>
    </row>
    <row r="87" spans="2:15" ht="13" x14ac:dyDescent="0.3">
      <c r="B87" s="92"/>
      <c r="C87" s="95" t="s">
        <v>65</v>
      </c>
      <c r="D87" s="29"/>
      <c r="E87" s="29"/>
      <c r="F87" s="29"/>
      <c r="G87" s="29"/>
      <c r="H87" s="29"/>
      <c r="I87" s="29"/>
      <c r="J87" s="29"/>
      <c r="K87" s="29"/>
      <c r="L87" s="8"/>
      <c r="M87" s="8"/>
      <c r="N87" s="8"/>
      <c r="O87" s="94"/>
    </row>
    <row r="88" spans="2:15" ht="13" x14ac:dyDescent="0.3">
      <c r="B88" s="92"/>
      <c r="C88" s="95" t="s">
        <v>207</v>
      </c>
      <c r="D88" s="29"/>
      <c r="E88" s="29"/>
      <c r="F88" s="29"/>
      <c r="G88" s="29"/>
      <c r="H88" s="29"/>
      <c r="I88" s="29"/>
      <c r="J88" s="29"/>
      <c r="K88" s="29"/>
      <c r="L88" s="8"/>
      <c r="M88" s="8"/>
      <c r="N88" s="8"/>
      <c r="O88" s="94"/>
    </row>
    <row r="89" spans="2:15" ht="13" x14ac:dyDescent="0.3">
      <c r="B89" s="92"/>
      <c r="C89" s="95"/>
      <c r="D89" s="29"/>
      <c r="E89" s="29"/>
      <c r="F89" s="29"/>
      <c r="G89" s="29"/>
      <c r="H89" s="29"/>
      <c r="I89" s="29"/>
      <c r="J89" s="29"/>
      <c r="K89" s="29"/>
      <c r="L89" s="8"/>
      <c r="M89" s="8"/>
      <c r="N89" s="8"/>
      <c r="O89" s="94"/>
    </row>
    <row r="90" spans="2:15" ht="13" x14ac:dyDescent="0.3">
      <c r="B90" s="92"/>
      <c r="C90" s="95" t="s">
        <v>77</v>
      </c>
      <c r="D90" s="29"/>
      <c r="E90" s="29"/>
      <c r="F90" s="29"/>
      <c r="G90" s="29"/>
      <c r="H90" s="29"/>
      <c r="I90" s="29"/>
      <c r="J90" s="29"/>
      <c r="K90" s="29"/>
      <c r="L90" s="8"/>
      <c r="M90" s="8"/>
      <c r="N90" s="8"/>
      <c r="O90" s="94"/>
    </row>
    <row r="91" spans="2:15" ht="13" x14ac:dyDescent="0.3">
      <c r="B91" s="92"/>
      <c r="C91" s="344" t="s">
        <v>294</v>
      </c>
      <c r="D91" s="488"/>
      <c r="E91" s="488"/>
      <c r="F91" s="488"/>
      <c r="G91" s="488"/>
      <c r="H91" s="29"/>
      <c r="I91" s="29"/>
      <c r="J91" s="29"/>
      <c r="K91" s="29"/>
      <c r="L91" s="8"/>
      <c r="M91" s="8"/>
      <c r="N91" s="8"/>
      <c r="O91" s="94"/>
    </row>
    <row r="92" spans="2:15" ht="13" x14ac:dyDescent="0.3">
      <c r="B92" s="92"/>
      <c r="C92" s="95"/>
      <c r="D92" s="29"/>
      <c r="E92" s="29"/>
      <c r="F92" s="29"/>
      <c r="G92" s="29"/>
      <c r="H92" s="29"/>
      <c r="I92" s="29"/>
      <c r="J92" s="29"/>
      <c r="K92" s="29"/>
      <c r="L92" s="8"/>
      <c r="M92" s="8"/>
      <c r="N92" s="8"/>
      <c r="O92" s="94"/>
    </row>
    <row r="93" spans="2:15" ht="13" x14ac:dyDescent="0.3">
      <c r="B93" s="92"/>
      <c r="C93" s="95" t="s">
        <v>280</v>
      </c>
      <c r="D93" s="29"/>
      <c r="E93" s="29"/>
      <c r="F93" s="29"/>
      <c r="G93" s="29"/>
      <c r="H93" s="29"/>
      <c r="I93" s="29"/>
      <c r="J93" s="29"/>
      <c r="K93" s="29"/>
      <c r="L93" s="8"/>
      <c r="M93" s="8"/>
      <c r="N93" s="8"/>
      <c r="O93" s="94"/>
    </row>
    <row r="94" spans="2:15" ht="13" x14ac:dyDescent="0.3">
      <c r="B94" s="92"/>
      <c r="C94" s="95"/>
      <c r="D94" s="29"/>
      <c r="E94" s="29"/>
      <c r="F94" s="29"/>
      <c r="G94" s="29"/>
      <c r="H94" s="29"/>
      <c r="I94" s="29"/>
      <c r="J94" s="29"/>
      <c r="K94" s="29"/>
      <c r="L94" s="8"/>
      <c r="M94" s="8"/>
      <c r="N94" s="8"/>
      <c r="O94" s="94"/>
    </row>
    <row r="95" spans="2:15" ht="13" x14ac:dyDescent="0.3">
      <c r="B95" s="92"/>
      <c r="C95" s="29"/>
      <c r="D95" s="133" t="s">
        <v>27</v>
      </c>
      <c r="E95" s="81" t="s">
        <v>45</v>
      </c>
      <c r="F95" s="81" t="s">
        <v>46</v>
      </c>
      <c r="G95" s="81" t="s">
        <v>47</v>
      </c>
      <c r="H95" s="81" t="s">
        <v>48</v>
      </c>
      <c r="I95" s="81" t="s">
        <v>49</v>
      </c>
      <c r="J95" s="29"/>
      <c r="K95" s="29"/>
      <c r="L95" s="8"/>
      <c r="M95" s="8"/>
      <c r="N95" s="8"/>
      <c r="O95" s="94"/>
    </row>
    <row r="96" spans="2:15" ht="13" x14ac:dyDescent="0.3">
      <c r="B96" s="92"/>
      <c r="C96" s="122" t="str">
        <f>IF(OR($D$7="c",D7="h"), "Tank diameter", IF($D$7="r","Longest Sidewall Length",""))</f>
        <v/>
      </c>
      <c r="D96" s="31">
        <f>'Tank#1'!D10</f>
        <v>0</v>
      </c>
      <c r="E96" s="66">
        <f>$D$96</f>
        <v>0</v>
      </c>
      <c r="F96" s="66">
        <f>$D$96</f>
        <v>0</v>
      </c>
      <c r="G96" s="66">
        <f>$D$96</f>
        <v>0</v>
      </c>
      <c r="H96" s="66">
        <f>$D$96</f>
        <v>0</v>
      </c>
      <c r="I96" s="66">
        <f>$D$96</f>
        <v>0</v>
      </c>
      <c r="J96" s="95" t="str">
        <f>IF(D8="y","","ft")</f>
        <v>ft</v>
      </c>
      <c r="K96" s="95"/>
      <c r="L96" s="8"/>
      <c r="M96" s="8"/>
      <c r="N96" s="8"/>
      <c r="O96" s="94"/>
    </row>
    <row r="97" spans="2:15" ht="13" x14ac:dyDescent="0.3">
      <c r="B97" s="92"/>
      <c r="C97" s="95" t="str">
        <f>IF(OR($D$7="c",D7="h"),"",IF($D$7="r","Shortest Sidewall Length",""))</f>
        <v/>
      </c>
      <c r="D97" s="33">
        <f>'Tank#1'!D11</f>
        <v>0</v>
      </c>
      <c r="E97" s="66">
        <f>$D$97</f>
        <v>0</v>
      </c>
      <c r="F97" s="66">
        <f>$D$97</f>
        <v>0</v>
      </c>
      <c r="G97" s="66">
        <f>$D$97</f>
        <v>0</v>
      </c>
      <c r="H97" s="66">
        <f>$D$97</f>
        <v>0</v>
      </c>
      <c r="I97" s="66">
        <f>$D$97</f>
        <v>0</v>
      </c>
      <c r="J97" s="95" t="str">
        <f>IF(D8="y","","ft")</f>
        <v>ft</v>
      </c>
      <c r="K97" s="95"/>
      <c r="L97" s="8"/>
      <c r="M97" s="8"/>
      <c r="N97" s="8"/>
      <c r="O97" s="94"/>
    </row>
    <row r="98" spans="2:15" ht="13" x14ac:dyDescent="0.3">
      <c r="B98" s="92"/>
      <c r="C98" s="346" t="s">
        <v>30</v>
      </c>
      <c r="D98" s="124">
        <f>'Tank#1'!D13</f>
        <v>0</v>
      </c>
      <c r="E98" s="345"/>
      <c r="F98" s="345"/>
      <c r="G98" s="345"/>
      <c r="H98" s="345"/>
      <c r="I98" s="345"/>
      <c r="J98" s="95" t="s">
        <v>1</v>
      </c>
      <c r="K98" s="95"/>
      <c r="L98" s="8"/>
      <c r="M98" s="8"/>
      <c r="N98" s="8"/>
      <c r="O98" s="94"/>
    </row>
    <row r="99" spans="2:15" ht="13" x14ac:dyDescent="0.3">
      <c r="B99" s="92"/>
      <c r="C99" s="346" t="str">
        <f>IF(D8="y","Fraction Full (Max Level)","High/Max Level")</f>
        <v>High/Max Level</v>
      </c>
      <c r="D99" s="80" t="b">
        <f>IF(OR($D$7="c",$D$7="r",$D$7="h"),(SUM(E53:E67)/COUNTIF(E53:E67,"&gt;0")),IF($D$8="y",(SUM(E53:E67)/COUNTIF(E53:E67,"&gt;0"))/($D$6*10^6)))</f>
        <v>0</v>
      </c>
      <c r="E99" s="345"/>
      <c r="F99" s="345"/>
      <c r="G99" s="345"/>
      <c r="H99" s="345"/>
      <c r="I99" s="345"/>
      <c r="J99" s="95" t="str">
        <f>IF(D8="y","","ft")</f>
        <v>ft</v>
      </c>
      <c r="K99" s="95"/>
      <c r="L99" s="8"/>
      <c r="M99" s="8"/>
      <c r="N99" s="8"/>
      <c r="O99" s="94"/>
    </row>
    <row r="100" spans="2:15" ht="13" x14ac:dyDescent="0.3">
      <c r="B100" s="92"/>
      <c r="C100" s="346" t="str">
        <f>IF(D8="y","Fraction Full (Min Level)","Low/Min Level")</f>
        <v>Low/Min Level</v>
      </c>
      <c r="D100" s="80" t="b">
        <f>IF(OR($D$7="c",$D$7="r",$D$7="s",$D$7="h"),(SUM(D53:D67)/COUNTIF(D53:D67,"&gt;0")),IF($D$8="y",(SUM(D53:D67)/COUNTIF(D53:D67,"&gt;0"))/($D$6*10^6)))</f>
        <v>0</v>
      </c>
      <c r="E100" s="345"/>
      <c r="F100" s="345"/>
      <c r="G100" s="345"/>
      <c r="H100" s="345"/>
      <c r="I100" s="345"/>
      <c r="J100" s="95" t="str">
        <f>IF(D8="y","","ft")</f>
        <v>ft</v>
      </c>
      <c r="K100" s="95"/>
      <c r="L100" s="8"/>
      <c r="M100" s="8"/>
      <c r="N100" s="8"/>
      <c r="O100" s="94"/>
    </row>
    <row r="101" spans="2:15" ht="15.5" x14ac:dyDescent="0.35">
      <c r="B101" s="92"/>
      <c r="C101" s="125" t="str">
        <f>IF(OR(D7="c", D7="r",D7="h"),"H/D ratio","")</f>
        <v/>
      </c>
      <c r="D101" s="490" t="str">
        <f t="shared" ref="D101:I101" si="10">IF(OR($D$7="c", $D$7="r",$D$7="h"),D99/D96,"")</f>
        <v/>
      </c>
      <c r="E101" s="124" t="str">
        <f t="shared" si="10"/>
        <v/>
      </c>
      <c r="F101" s="124" t="str">
        <f t="shared" si="10"/>
        <v/>
      </c>
      <c r="G101" s="124" t="str">
        <f t="shared" si="10"/>
        <v/>
      </c>
      <c r="H101" s="124" t="str">
        <f t="shared" si="10"/>
        <v/>
      </c>
      <c r="I101" s="124" t="str">
        <f t="shared" si="10"/>
        <v/>
      </c>
      <c r="J101" s="134"/>
      <c r="K101" s="148"/>
      <c r="L101" s="8"/>
      <c r="M101" s="8"/>
      <c r="N101" s="8"/>
      <c r="O101" s="94"/>
    </row>
    <row r="102" spans="2:15" ht="13" x14ac:dyDescent="0.3">
      <c r="B102" s="92"/>
      <c r="C102" s="123" t="str">
        <f>IF(D8="y","Actual Vol Change","Actual Level Change")</f>
        <v>Actual Level Change</v>
      </c>
      <c r="D102" s="124" t="e">
        <f>'Tank#1'!J73</f>
        <v>#DIV/0!</v>
      </c>
      <c r="E102" s="80" t="str">
        <f>IF(OR($D$7="c",$D$7="h",$D$7="r"),E99-E100,IF($D$8="y",($D$6*10^6)*(E99-E100),""))</f>
        <v/>
      </c>
      <c r="F102" s="80" t="str">
        <f>IF(OR($D$7="c",$D$7="h",$D$7="r"),F99-F100,IF($D$8="y",($D$6*10^6)*(F99-F100),""))</f>
        <v/>
      </c>
      <c r="G102" s="80" t="str">
        <f>IF(OR($D$7="c",$D$7="h",$D$7="r"),G99-G100,IF($D$8="y",($D$6*10^6)*(G99-G100),""))</f>
        <v/>
      </c>
      <c r="H102" s="80" t="str">
        <f>IF(OR($D$7="c",$D$7="h",$D$7="r"),H99-H100,IF($D$8="y",($D$6*10^6)*(H99-H100),""))</f>
        <v/>
      </c>
      <c r="I102" s="80" t="str">
        <f>IF(OR($D$7="c",$D$7="h",$D$7="r"),I99-I100,IF($D$8="y",($D$6*10^6)*(I99-I100),""))</f>
        <v/>
      </c>
      <c r="J102" s="95" t="str">
        <f>IF(OR(D7="c",D7="r"),"ft",IF(AND(D7="n",D8="y"),"gal",""))</f>
        <v/>
      </c>
      <c r="K102" s="95"/>
      <c r="L102" s="8"/>
      <c r="M102" s="8"/>
      <c r="N102" s="8"/>
      <c r="O102" s="94"/>
    </row>
    <row r="103" spans="2:15" ht="13" x14ac:dyDescent="0.3">
      <c r="B103" s="92"/>
      <c r="C103" s="123" t="s">
        <v>94</v>
      </c>
      <c r="D103" s="494" t="e">
        <f>IF('Tank Summary'!$K$16="y",IF((D99/$D$10)&lt;=1,10.2,(3.58*(D99/$D$10)+6.66)),"Tank mixing equations do not apply")</f>
        <v>#DIV/0!</v>
      </c>
      <c r="E103" s="494" t="e">
        <f>IF('Tank Summary'!$K$16="y",IF((E99/$D$10)&lt;=1,10.2,(3.58*(E99/$D$10)+6.66)),"Tank mixing equations do not apply")</f>
        <v>#DIV/0!</v>
      </c>
      <c r="F103" s="494" t="e">
        <f>IF('Tank Summary'!$K$16="y",IF((F99/$D$10)&lt;=1,10.2,(3.58*(F99/$D$10)+6.66)),"Tank mixing equations do not apply")</f>
        <v>#DIV/0!</v>
      </c>
      <c r="G103" s="494" t="e">
        <f>IF('Tank Summary'!$K$16="y",IF((G99/$D$10)&lt;=1,10.2,(3.58*(G99/$D$10)+6.66)),"Tank mixing equations do not apply")</f>
        <v>#DIV/0!</v>
      </c>
      <c r="H103" s="494" t="e">
        <f>IF('Tank Summary'!$K$16="y",IF((H99/$D$10)&lt;=1,10.2,(3.58*(H99/$D$10)+6.66)),"Tank mixing equations do not apply")</f>
        <v>#DIV/0!</v>
      </c>
      <c r="I103" s="494" t="e">
        <f>IF('Tank Summary'!$K$16="y",IF((I99/$D$10)&lt;=1,10.2,(3.58*(I99/$D$10)+6.66)),"Tank mixing equations do not apply")</f>
        <v>#DIV/0!</v>
      </c>
      <c r="J103" s="95"/>
      <c r="K103" s="95"/>
      <c r="L103" s="8"/>
      <c r="M103" s="8"/>
      <c r="N103" s="8"/>
      <c r="O103" s="94"/>
    </row>
    <row r="104" spans="2:15" ht="26" x14ac:dyDescent="0.3">
      <c r="B104" s="92"/>
      <c r="C104" s="123" t="str">
        <f>IF(D8="y","Desired Vol Change Needed for Good Mixing","Desired Level Change Needed for Good Mixing")</f>
        <v>Desired Level Change Needed for Good Mixing</v>
      </c>
      <c r="D104" s="124" t="e">
        <f>'Tank#1'!J74</f>
        <v>#DIV/0!</v>
      </c>
      <c r="E104" s="80" t="str">
        <f>IF(OR($D$7="c",$D$7="h"),(((E103/1.13)*E98)/((E100*PI()*(E96/2)^2)^(1/3)))*E100,IF($D$7="r",(((E103/1.13)*E98)/((E100*E96*E97)^(1/3)))*E100,IF($D$8="y",(((E103/1.13)*E98)/(((E100*$D$6*10^6)/7.480519)^(1/3)))*(E100*$D$6*10^6),"")))</f>
        <v/>
      </c>
      <c r="F104" s="80" t="str">
        <f>IF(OR($D$7="c",$D$7="h"),(((F103/1.13)*F98)/((F100*PI()*(F96/2)^2)^(1/3)))*F100,IF($D$7="r",(((F103/1.13)*F98)/((F100*F96*F97)^(1/3)))*F100,IF($D$8="y",(((F103/1.13)*F98)/(((F100*$D$6*10^6)/7.480519)^(1/3)))*(F100*$D$6*10^6),"")))</f>
        <v/>
      </c>
      <c r="G104" s="80" t="str">
        <f>IF(OR($D$7="c",$D$7="h"),(((G103/1.13)*G98)/((G100*PI()*(G96/2)^2)^(1/3)))*G100,IF($D$7="r",(((G103/1.13)*G98)/((G100*G96*G97)^(1/3)))*G100,IF($D$8="y",(((G103/1.13)*G98)/(((G100*$D$6*10^6)/7.480519)^(1/3)))*(G100*$D$6*10^6),"")))</f>
        <v/>
      </c>
      <c r="H104" s="80" t="str">
        <f>IF(OR($D$7="c",$D$7="h"),(((H103/1.13)*H98)/((H100*PI()*(H96/2)^2)^(1/3)))*H100,IF($D$7="r",(((H103/1.13)*H98)/((H100*H96*H97)^(1/3)))*H100,IF($D$8="y",(((H103/1.13)*H98)/(((H100*$D$6*10^6)/7.480519)^(1/3)))*(H100*$D$6*10^6),"")))</f>
        <v/>
      </c>
      <c r="I104" s="80" t="str">
        <f>IF(OR($D$7="c",$D$7="h"),(((I103/1.13)*I98)/((I100*PI()*(I96/2)^2)^(1/3)))*I100,IF($D$7="r",(((I103/1.13)*I98)/((I100*I96*I97)^(1/3)))*I100,IF($D$8="y",(((I103/1.13)*I98)/(((I100*$D$6*10^6)/7.480519)^(1/3)))*(I100*$D$6*10^6),"")))</f>
        <v/>
      </c>
      <c r="J104" s="95" t="str">
        <f>IF(OR(D7="c",D7="r"),"ft",IF(AND(D7="n",D8="y"),"gal",""))</f>
        <v/>
      </c>
      <c r="K104" s="95"/>
      <c r="L104" s="8"/>
      <c r="M104" s="8"/>
      <c r="N104" s="8"/>
      <c r="O104" s="94"/>
    </row>
    <row r="105" spans="2:15" ht="39" customHeight="1" x14ac:dyDescent="0.3">
      <c r="B105" s="92"/>
      <c r="C105" s="105" t="str">
        <f>IF(D8="y","","Pressure Drop After Change in Min Water Level")</f>
        <v>Pressure Drop After Change in Min Water Level</v>
      </c>
      <c r="D105" s="12"/>
      <c r="E105" s="12">
        <f>IF($D$8="y","",($D$100-E100)/2.31)</f>
        <v>0</v>
      </c>
      <c r="F105" s="12">
        <f>IF($D$8="y","",($D$100-F100)/2.31)</f>
        <v>0</v>
      </c>
      <c r="G105" s="12">
        <f>IF($D$8="y","",($D$100-G100)/2.31)</f>
        <v>0</v>
      </c>
      <c r="H105" s="12">
        <f>IF($D$8="y","",($D$100-H100)/2.31)</f>
        <v>0</v>
      </c>
      <c r="I105" s="12">
        <f>IF($D$8="y","",($D$100-I100)/2.31)</f>
        <v>0</v>
      </c>
      <c r="J105" s="95" t="str">
        <f>IF(OR(D7="c",D7="r",D7="h"),"psi",IF(AND(D7="n",D8="y"),"",""))</f>
        <v/>
      </c>
      <c r="K105" s="95"/>
      <c r="L105" s="8"/>
      <c r="M105" s="8"/>
      <c r="N105" s="8"/>
      <c r="O105" s="94"/>
    </row>
    <row r="106" spans="2:15" ht="13" x14ac:dyDescent="0.3">
      <c r="B106" s="92"/>
      <c r="C106" s="123" t="s">
        <v>287</v>
      </c>
      <c r="D106" s="33" t="e">
        <f>'Tank#1'!E74</f>
        <v>#DIV/0!</v>
      </c>
      <c r="E106" s="33" t="e">
        <f>D106</f>
        <v>#DIV/0!</v>
      </c>
      <c r="F106" s="33" t="e">
        <f>E106</f>
        <v>#DIV/0!</v>
      </c>
      <c r="G106" s="33" t="e">
        <f>F106</f>
        <v>#DIV/0!</v>
      </c>
      <c r="H106" s="159" t="e">
        <f>G106</f>
        <v>#DIV/0!</v>
      </c>
      <c r="I106" s="159" t="e">
        <f>H106</f>
        <v>#DIV/0!</v>
      </c>
      <c r="J106" s="95" t="s">
        <v>26</v>
      </c>
      <c r="K106" s="95"/>
      <c r="L106" s="8"/>
      <c r="M106" s="8"/>
      <c r="N106" s="8"/>
      <c r="O106" s="94"/>
    </row>
    <row r="107" spans="2:15" ht="26" x14ac:dyDescent="0.3">
      <c r="B107" s="92"/>
      <c r="C107" s="105" t="s">
        <v>286</v>
      </c>
      <c r="D107" s="33" t="e">
        <f>'Tank#1'!E75</f>
        <v>#DIV/0!</v>
      </c>
      <c r="E107" s="33" t="e">
        <f>D107</f>
        <v>#DIV/0!</v>
      </c>
      <c r="F107" s="33" t="e">
        <f>D107</f>
        <v>#DIV/0!</v>
      </c>
      <c r="G107" s="33" t="e">
        <f>D107</f>
        <v>#DIV/0!</v>
      </c>
      <c r="H107" s="159" t="e">
        <f>D107</f>
        <v>#DIV/0!</v>
      </c>
      <c r="I107" s="159" t="e">
        <f>D107</f>
        <v>#DIV/0!</v>
      </c>
      <c r="J107" s="95" t="s">
        <v>26</v>
      </c>
      <c r="K107" s="95"/>
      <c r="L107" s="8"/>
      <c r="M107" s="8"/>
      <c r="N107" s="8"/>
      <c r="O107" s="94"/>
    </row>
    <row r="108" spans="2:15" ht="13" x14ac:dyDescent="0.3">
      <c r="B108" s="92"/>
      <c r="C108" s="123" t="s">
        <v>36</v>
      </c>
      <c r="D108" s="11" t="e">
        <f>'Tank#1'!E72</f>
        <v>#DIV/0!</v>
      </c>
      <c r="E108" s="11" t="e">
        <f>ROUND(IF(OR($D$7="c",$D$7="h"),(E99-E100)*PI()*((E96/2)^2)*7.480519/(E106*24*60),IF($D$7="r",(E99-E100)*E96*E97*7.480519/(E106*24*60),IF($D$8="y",((E99*$D$6*10^6)-(E100*$D$6*10^6))/(E106*24*60),""))),2)</f>
        <v>#VALUE!</v>
      </c>
      <c r="F108" s="11" t="e">
        <f>ROUND(IF(OR($D$7="c",$D$7="h"),(F99-F100)*PI()*((F96/2)^2)*7.480519/(F106*24*60),IF($D$7="r",(F99-F100)*F96*F97*7.480519/(F106*24*60),IF($D$8="y",((F99*$D$6*10^6)-(F100*$D$6*10^6))/(F106*24*60),""))),2)</f>
        <v>#VALUE!</v>
      </c>
      <c r="G108" s="11" t="e">
        <f>ROUND(IF(OR($D$7="c",$D$7="h"),(G99-G100)*PI()*((G96/2)^2)*7.480519/(G106*24*60),IF($D$7="r",(G99-G100)*G96*G97*7.480519/(G106*24*60),IF($D$8="y",((G99*$D$6*10^6)-(G100*$D$6*10^6))/(G106*24*60),""))),2)</f>
        <v>#VALUE!</v>
      </c>
      <c r="H108" s="11" t="e">
        <f>ROUND(IF(OR($D$7="c",$D$7="h"),(H99-H100)*PI()*((H96/2)^2)*7.480519/(H106*24*60),IF($D$7="r",(H99-H100)*H96*H97*7.480519/(H106*24*60),IF($D$8="y",((H99*$D$6*10^6)-(H100*$D$6*10^6))/(H106*24*60),""))),2)</f>
        <v>#VALUE!</v>
      </c>
      <c r="I108" s="11" t="e">
        <f>ROUND(IF(OR($D$7="c",$D$7="h"),(I99-I100)*PI()*((I96/2)^2)*7.480519/(I106*24*60),IF($D$7="r",(I99-I100)*I96*I97*7.480519/(I106*24*60),IF($D$8="y",((I99*$D$6*10^6)-(I100*$D$6*10^6))/(I106*24*60),""))),2)</f>
        <v>#VALUE!</v>
      </c>
      <c r="J108" s="95" t="s">
        <v>2</v>
      </c>
      <c r="K108" s="95"/>
      <c r="L108" s="8"/>
      <c r="M108" s="8"/>
      <c r="N108" s="8"/>
      <c r="O108" s="94"/>
    </row>
    <row r="109" spans="2:15" ht="13" x14ac:dyDescent="0.3">
      <c r="B109" s="92"/>
      <c r="C109" s="105" t="s">
        <v>37</v>
      </c>
      <c r="D109" s="11" t="e">
        <f>'Tank#1'!E73</f>
        <v>#DIV/0!</v>
      </c>
      <c r="E109" s="11" t="e">
        <f>ROUND(IF(OR($D$7="c",$D$7="h"),(E99-E100)*PI()*((E96/2)^2)*7.480519/(E107*24*60),IF($D$7="r",(E99-E100)*E96*E97*7.480519/(E107*24*60),IF($D$8="y",((E99*$D$6*10^6)-(E100*$D$6*10^6))/(E107*24*60),""))),2)</f>
        <v>#VALUE!</v>
      </c>
      <c r="F109" s="11" t="e">
        <f>ROUND(IF(OR($D$7="c",$D$7="h"),(F99-F100)*PI()*((F96/2)^2)*7.480519/(F107*24*60),IF($D$7="r",(F99-F100)*F96*F97*7.480519/(F107*24*60),IF($D$8="y",((F99*$D$6*10^6)-(F100*$D$6*10^6))/(F107*24*60),""))),2)</f>
        <v>#VALUE!</v>
      </c>
      <c r="G109" s="11" t="e">
        <f>ROUND(IF(OR($D$7="c",$D$7="h"),(G99-G100)*PI()*((G96/2)^2)*7.480519/(G107*24*60),IF($D$7="r",(G99-G100)*G96*G97*7.480519/(G107*24*60),IF($D$8="y",((G99*$D$6*10^6)-(G100*$D$6*10^6))/(G107*24*60),""))),2)</f>
        <v>#VALUE!</v>
      </c>
      <c r="H109" s="11" t="e">
        <f>ROUND(IF(OR($D$7="c",$D$7="h"),(H99-H100)*PI()*((H96/2)^2)*7.480519/(H107*24*60),IF($D$7="r",(H99-H100)*H96*H97*7.480519/(H107*24*60),IF($D$8="y",((H99*$D$6*10^6)-(H100*$D$6*10^6))/(H107*24*60),""))),2)</f>
        <v>#VALUE!</v>
      </c>
      <c r="I109" s="11" t="e">
        <f>ROUND(IF(OR($D$7="c",$D$7="h"),(I99-I100)*PI()*((I96/2)^2)*7.480519/(I107*24*60),IF($D$7="r",(I99-I100)*I96*I97*7.480519/(I107*24*60),IF($D$8="y",((I99*$D$6*10^6)-(I100*$D$6*10^6))/(I107*24*60),""))),2)</f>
        <v>#VALUE!</v>
      </c>
      <c r="J109" s="95" t="s">
        <v>2</v>
      </c>
      <c r="K109" s="95"/>
      <c r="L109" s="8"/>
      <c r="M109" s="8"/>
      <c r="N109" s="8"/>
      <c r="O109" s="94"/>
    </row>
    <row r="110" spans="2:15" ht="26" x14ac:dyDescent="0.3">
      <c r="B110" s="92"/>
      <c r="C110" s="123" t="s">
        <v>288</v>
      </c>
      <c r="D110" s="11" t="e">
        <f>'Tank#1'!E70</f>
        <v>#DIV/0!</v>
      </c>
      <c r="E110" s="11" t="str">
        <f>IF(OR($D$7="c",$D$7="h"),(E99-E100)*PI()*((E96/2)^2)*7.480519/10^6,IF($D$7="r",(E99-E100)*E96*E97*7.480519/10^6,IF($D$8="y",((E99*$D$6*10^6)-(E100*$D$6*10^6))/10^6,"")))</f>
        <v/>
      </c>
      <c r="F110" s="11" t="str">
        <f>IF(OR($D$7="c",$D$7="h"),(F99-F100)*PI()*((F96/2)^2)*7.480519/10^6,IF($D$7="r",(F99-F100)*F96*F97*7.480519/10^6,IF($D$8="y",((F99*$D$6*10^6)-(F100*$D$6*10^6))/10^6,"")))</f>
        <v/>
      </c>
      <c r="G110" s="11" t="str">
        <f>IF(OR($D$7="c",$D$7="h"),(G99-G100)*PI()*((G96/2)^2)*7.480519/10^6,IF($D$7="r",(G99-G100)*G96*G97*7.480519/10^6,IF($D$8="y",((G99*$D$6*10^6)-(G100*$D$6*10^6))/10^6,"")))</f>
        <v/>
      </c>
      <c r="H110" s="11" t="str">
        <f>IF(OR($D$7="c",$D$7="h"),(H99-H100)*PI()*((H96/2)^2)*7.480519/10^6,IF($D$7="r",(H99-H100)*H96*H97*7.480519/10^6,IF($D$8="y",((H99*$D$6*10^6)-(H100*$D$6*10^6))/10^6,"")))</f>
        <v/>
      </c>
      <c r="I110" s="11" t="str">
        <f>IF(OR($D$7="c",$D$7="h"),(I99-I100)*PI()*((I96/2)^2)*7.480519/10^6,IF($D$7="r",(I99-I100)*I96*I97*7.480519/10^6,IF($D$8="y",((I99*$D$6*10^6)-(I100*$D$6*10^6))/10^6,"")))</f>
        <v/>
      </c>
      <c r="J110" s="95" t="s">
        <v>5</v>
      </c>
      <c r="K110" s="95"/>
      <c r="L110" s="8"/>
      <c r="M110" s="8"/>
      <c r="N110" s="8"/>
      <c r="O110" s="94"/>
    </row>
    <row r="111" spans="2:15" ht="13" x14ac:dyDescent="0.3">
      <c r="B111" s="92"/>
      <c r="C111" s="105" t="s">
        <v>52</v>
      </c>
      <c r="D111" s="11" t="e">
        <f>'Tank#1'!E76</f>
        <v>#DIV/0!</v>
      </c>
      <c r="E111" s="11" t="e">
        <f>E109+E108</f>
        <v>#VALUE!</v>
      </c>
      <c r="F111" s="11" t="e">
        <f>F109+F108</f>
        <v>#VALUE!</v>
      </c>
      <c r="G111" s="11" t="e">
        <f>G109+G108</f>
        <v>#VALUE!</v>
      </c>
      <c r="H111" s="11" t="e">
        <f>H109+H108</f>
        <v>#VALUE!</v>
      </c>
      <c r="I111" s="11" t="e">
        <f>I109+I108</f>
        <v>#VALUE!</v>
      </c>
      <c r="J111" s="95" t="s">
        <v>2</v>
      </c>
      <c r="K111" s="95"/>
      <c r="L111" s="8"/>
      <c r="M111" s="8"/>
      <c r="N111" s="8"/>
      <c r="O111" s="94"/>
    </row>
    <row r="112" spans="2:15" ht="13" x14ac:dyDescent="0.3">
      <c r="B112" s="92"/>
      <c r="C112" s="123" t="s">
        <v>289</v>
      </c>
      <c r="D112" s="11" t="e">
        <f>'Tank#1'!$E$77</f>
        <v>#DIV/0!</v>
      </c>
      <c r="E112" s="32" t="e">
        <f>E110/E111</f>
        <v>#VALUE!</v>
      </c>
      <c r="F112" s="32" t="e">
        <f>F110/F111</f>
        <v>#VALUE!</v>
      </c>
      <c r="G112" s="32" t="e">
        <f>G110/G111</f>
        <v>#VALUE!</v>
      </c>
      <c r="H112" s="32" t="e">
        <f>H110/H111</f>
        <v>#VALUE!</v>
      </c>
      <c r="I112" s="32" t="e">
        <f>I110/I111</f>
        <v>#VALUE!</v>
      </c>
      <c r="J112" s="95" t="s">
        <v>3</v>
      </c>
      <c r="K112" s="95"/>
      <c r="L112" s="8"/>
      <c r="M112" s="8"/>
      <c r="N112" s="8"/>
      <c r="O112" s="94"/>
    </row>
    <row r="113" spans="2:15" ht="13" x14ac:dyDescent="0.3">
      <c r="B113" s="92"/>
      <c r="C113" s="105" t="s">
        <v>44</v>
      </c>
      <c r="D113" s="11" t="e">
        <f>'Tank#1'!$E$78</f>
        <v>#DIV/0!</v>
      </c>
      <c r="E113" s="32" t="str">
        <f>IF(OR($D$7="c",$D$7="h"),((E99+E100)/2)*PI()*((E96/2)^2)*7.480519/10^6,IF($D$7="r",((E99+E100)/2)*E96*E97*7.480519/10^6,IF($D$8="y",(((E99*$D$6*10^6)+(E100*$D$6*10^6))/2)/10^6,"")))</f>
        <v/>
      </c>
      <c r="F113" s="32" t="str">
        <f>IF(OR($D$7="c",$D$7="h"),((F99+F100)/2)*PI()*((F96/2)^2)*7.480519/10^6,IF($D$7="r",((F99+F100)/2)*F96*F97*7.480519/10^6,IF($D$8="y",(((F99*$D$6*10^6)+(F100*$D$6*10^6))/2)/10^6,"")))</f>
        <v/>
      </c>
      <c r="G113" s="32" t="str">
        <f>IF(OR($D$7="c",$D$7="h"),((G99+G100)/2)*PI()*((G96/2)^2)*7.480519/10^6,IF($D$7="r",((G99+G100)/2)*G96*G97*7.480519/10^6,IF($D$8="y",(((G99*$D$6*10^6)+(G100*$D$6*10^6))/2)/10^6,"")))</f>
        <v/>
      </c>
      <c r="H113" s="32" t="str">
        <f>IF(OR($D$7="c",$D$7="h"),((H99+H100)/2)*PI()*((H96/2)^2)*7.480519/10^6,IF($D$7="r",((H99+H100)/2)*H96*H97*7.480519/10^6,IF($D$8="y",(((H99*$D$6*10^6)+(H100*$D$6*10^6))/2)/10^6,"")))</f>
        <v/>
      </c>
      <c r="I113" s="32" t="str">
        <f>IF(OR($D$7="c",$D$7="h"),((I99+I100)/2)*PI()*((I96/2)^2)*7.480519/10^6,IF($D$7="r",((I99+I100)/2)*I96*I97*7.480519/10^6,IF($D$8="y",(((I99*$D$6*10^6)+(I100*$D$6*10^6))/2)/10^6,"")))</f>
        <v/>
      </c>
      <c r="J113" s="95" t="s">
        <v>5</v>
      </c>
      <c r="K113" s="95"/>
      <c r="L113" s="8"/>
      <c r="M113" s="8"/>
      <c r="N113" s="8"/>
      <c r="O113" s="94"/>
    </row>
    <row r="114" spans="2:15" ht="26" x14ac:dyDescent="0.3">
      <c r="B114" s="92"/>
      <c r="C114" s="137" t="s">
        <v>57</v>
      </c>
      <c r="D114" s="138" t="e">
        <f>'Tank#1'!J75</f>
        <v>#DIV/0!</v>
      </c>
      <c r="E114" s="139" t="e">
        <f>E102/E104</f>
        <v>#VALUE!</v>
      </c>
      <c r="F114" s="139" t="e">
        <f>F102/F104</f>
        <v>#VALUE!</v>
      </c>
      <c r="G114" s="139" t="e">
        <f>G102/G104</f>
        <v>#VALUE!</v>
      </c>
      <c r="H114" s="139" t="e">
        <f>H102/H104</f>
        <v>#VALUE!</v>
      </c>
      <c r="I114" s="139" t="e">
        <f>I102/I104</f>
        <v>#VALUE!</v>
      </c>
      <c r="J114" s="95"/>
      <c r="K114" s="95"/>
      <c r="L114" s="8"/>
      <c r="M114" s="8"/>
      <c r="N114" s="8"/>
      <c r="O114" s="94"/>
    </row>
    <row r="115" spans="2:15" ht="13" x14ac:dyDescent="0.3">
      <c r="B115" s="92"/>
      <c r="C115" s="137" t="s">
        <v>8</v>
      </c>
      <c r="D115" s="140" t="e">
        <f>'Tank#1'!$E$79</f>
        <v>#DIV/0!</v>
      </c>
      <c r="E115" s="140" t="e">
        <f>E113/E112</f>
        <v>#VALUE!</v>
      </c>
      <c r="F115" s="140" t="e">
        <f>F113/F112</f>
        <v>#VALUE!</v>
      </c>
      <c r="G115" s="140" t="e">
        <f>G113/G112</f>
        <v>#VALUE!</v>
      </c>
      <c r="H115" s="140" t="e">
        <f>H113/H112</f>
        <v>#VALUE!</v>
      </c>
      <c r="I115" s="140" t="e">
        <f>I113/I112</f>
        <v>#VALUE!</v>
      </c>
      <c r="J115" s="95" t="s">
        <v>2</v>
      </c>
      <c r="K115" s="95"/>
      <c r="L115" s="8"/>
      <c r="M115" s="8"/>
      <c r="N115" s="8"/>
      <c r="O115" s="94"/>
    </row>
    <row r="116" spans="2:15" ht="13.5" thickBot="1" x14ac:dyDescent="0.35">
      <c r="B116" s="101"/>
      <c r="C116" s="102"/>
      <c r="D116" s="102"/>
      <c r="E116" s="102"/>
      <c r="F116" s="102"/>
      <c r="G116" s="106"/>
      <c r="H116" s="106"/>
      <c r="I116" s="107"/>
      <c r="J116" s="102"/>
      <c r="K116" s="102"/>
      <c r="L116" s="102"/>
      <c r="M116" s="102"/>
      <c r="N116" s="102"/>
      <c r="O116" s="103"/>
    </row>
    <row r="117" spans="2:15" ht="18.5" hidden="1" thickBot="1" x14ac:dyDescent="0.45">
      <c r="B117" s="116" t="s">
        <v>191</v>
      </c>
      <c r="C117" s="111"/>
      <c r="D117" s="120"/>
      <c r="E117" s="111"/>
      <c r="F117" s="111"/>
      <c r="G117" s="111"/>
      <c r="H117" s="111"/>
      <c r="I117" s="111"/>
      <c r="J117" s="111"/>
      <c r="K117" s="111"/>
      <c r="L117" s="118"/>
      <c r="M117" s="118"/>
      <c r="N117" s="118"/>
      <c r="O117" s="119"/>
    </row>
    <row r="118" spans="2:15" hidden="1" x14ac:dyDescent="0.25">
      <c r="B118" s="149"/>
      <c r="C118" s="104"/>
      <c r="D118" s="104"/>
      <c r="E118" s="104"/>
      <c r="F118" s="104"/>
      <c r="G118" s="104"/>
      <c r="H118" s="104"/>
      <c r="I118" s="104"/>
      <c r="J118" s="104"/>
      <c r="K118" s="104"/>
      <c r="L118" s="90"/>
      <c r="M118" s="90"/>
      <c r="N118" s="90"/>
      <c r="O118" s="91"/>
    </row>
    <row r="119" spans="2:15" ht="13" hidden="1" x14ac:dyDescent="0.3">
      <c r="B119" s="92"/>
      <c r="C119" s="95" t="s">
        <v>86</v>
      </c>
      <c r="D119" s="29"/>
      <c r="E119" s="29"/>
      <c r="F119" s="29"/>
      <c r="G119" s="29"/>
      <c r="H119" s="29"/>
      <c r="I119" s="29"/>
      <c r="J119" s="29"/>
      <c r="K119" s="29"/>
      <c r="L119" s="8"/>
      <c r="M119" s="8"/>
      <c r="N119" s="8"/>
      <c r="O119" s="94"/>
    </row>
    <row r="120" spans="2:15" ht="13" hidden="1" x14ac:dyDescent="0.3">
      <c r="B120" s="92"/>
      <c r="C120" s="95" t="s">
        <v>88</v>
      </c>
      <c r="D120" s="29"/>
      <c r="E120" s="29"/>
      <c r="F120" s="29"/>
      <c r="G120" s="29"/>
      <c r="H120" s="29"/>
      <c r="I120" s="29"/>
      <c r="J120" s="29"/>
      <c r="K120" s="29"/>
      <c r="L120" s="8"/>
      <c r="M120" s="8"/>
      <c r="N120" s="8"/>
      <c r="O120" s="94"/>
    </row>
    <row r="121" spans="2:15" ht="13" hidden="1" x14ac:dyDescent="0.3">
      <c r="B121" s="92"/>
      <c r="C121" s="95" t="s">
        <v>89</v>
      </c>
      <c r="D121" s="29"/>
      <c r="E121" s="29"/>
      <c r="F121" s="29"/>
      <c r="G121" s="29"/>
      <c r="H121" s="29"/>
      <c r="I121" s="29"/>
      <c r="J121" s="29"/>
      <c r="K121" s="29"/>
      <c r="L121" s="8"/>
      <c r="M121" s="8"/>
      <c r="N121" s="8"/>
      <c r="O121" s="94"/>
    </row>
    <row r="122" spans="2:15" ht="13" hidden="1" x14ac:dyDescent="0.3">
      <c r="B122" s="92"/>
      <c r="C122" s="95" t="s">
        <v>90</v>
      </c>
      <c r="D122" s="29"/>
      <c r="E122" s="29"/>
      <c r="F122" s="29"/>
      <c r="G122" s="29"/>
      <c r="H122" s="29"/>
      <c r="I122" s="29"/>
      <c r="J122" s="29"/>
      <c r="K122" s="29"/>
      <c r="L122" s="8"/>
      <c r="M122" s="8"/>
      <c r="N122" s="8"/>
      <c r="O122" s="94"/>
    </row>
    <row r="123" spans="2:15" ht="13" hidden="1" x14ac:dyDescent="0.3">
      <c r="B123" s="92"/>
      <c r="C123" s="113"/>
      <c r="D123" s="29"/>
      <c r="E123" s="29"/>
      <c r="F123" s="29"/>
      <c r="G123" s="29"/>
      <c r="H123" s="29"/>
      <c r="I123" s="29"/>
      <c r="J123" s="29"/>
      <c r="K123" s="29"/>
      <c r="L123" s="8"/>
      <c r="M123" s="8"/>
      <c r="N123" s="8"/>
      <c r="O123" s="94"/>
    </row>
    <row r="124" spans="2:15" ht="39" hidden="1" x14ac:dyDescent="0.3">
      <c r="B124" s="92"/>
      <c r="C124" s="29"/>
      <c r="D124" s="133" t="s">
        <v>79</v>
      </c>
      <c r="E124" s="81" t="s">
        <v>45</v>
      </c>
      <c r="F124" s="81" t="s">
        <v>46</v>
      </c>
      <c r="G124" s="81" t="s">
        <v>47</v>
      </c>
      <c r="H124" s="81" t="s">
        <v>48</v>
      </c>
      <c r="I124" s="81" t="s">
        <v>49</v>
      </c>
      <c r="J124" s="29"/>
      <c r="K124" s="29"/>
      <c r="L124" s="8"/>
      <c r="M124" s="8"/>
      <c r="N124" s="8"/>
      <c r="O124" s="94"/>
    </row>
    <row r="125" spans="2:15" ht="13" hidden="1" x14ac:dyDescent="0.3">
      <c r="B125" s="92"/>
      <c r="C125" s="123" t="str">
        <f>IF(D49="y","Fraction Full (Max Level)","High/Max Level")</f>
        <v>High/Max Level</v>
      </c>
      <c r="D125" s="132" t="b">
        <f>IF(OR($D$7="c",$D$7="r",D7="h"),(SUM(E53:E67)/COUNTIF(E53:E67,"&gt;0")),IF($D$8="y",(SUM(E53:E67)/COUNTIF(E53:E67,"&gt;0"))/($D$6*10^6)))</f>
        <v>0</v>
      </c>
      <c r="E125" s="135">
        <f t="shared" ref="E125:I126" si="11">E99</f>
        <v>0</v>
      </c>
      <c r="F125" s="135">
        <f t="shared" si="11"/>
        <v>0</v>
      </c>
      <c r="G125" s="135">
        <f t="shared" si="11"/>
        <v>0</v>
      </c>
      <c r="H125" s="135">
        <f t="shared" si="11"/>
        <v>0</v>
      </c>
      <c r="I125" s="135">
        <f t="shared" si="11"/>
        <v>0</v>
      </c>
      <c r="J125" s="95" t="str">
        <f>IF(D49="y","","ft")</f>
        <v>ft</v>
      </c>
      <c r="K125" s="95"/>
      <c r="L125" s="8"/>
      <c r="M125" s="8"/>
      <c r="N125" s="8"/>
      <c r="O125" s="94"/>
    </row>
    <row r="126" spans="2:15" ht="13" hidden="1" x14ac:dyDescent="0.3">
      <c r="B126" s="92"/>
      <c r="C126" s="123" t="str">
        <f>IF(D49="y","Fraction Full (Min Level)","Low/Min Level")</f>
        <v>Low/Min Level</v>
      </c>
      <c r="D126" s="132" t="b">
        <f>IF(OR($D$7="c",$D$7="r",D7="h"),(SUM(D53:D67)/COUNTIF(D53:D67,"&gt;0")),IF($D$8="y",(SUM(D53:D67)/COUNTIF(D53:D67,"&gt;0"))/($D$6*10^6)))</f>
        <v>0</v>
      </c>
      <c r="E126" s="135">
        <f t="shared" si="11"/>
        <v>0</v>
      </c>
      <c r="F126" s="135">
        <f t="shared" si="11"/>
        <v>0</v>
      </c>
      <c r="G126" s="135">
        <f t="shared" si="11"/>
        <v>0</v>
      </c>
      <c r="H126" s="135">
        <f t="shared" si="11"/>
        <v>0</v>
      </c>
      <c r="I126" s="135">
        <f t="shared" si="11"/>
        <v>0</v>
      </c>
      <c r="J126" s="95" t="str">
        <f>IF(D49="y","","ft")</f>
        <v>ft</v>
      </c>
      <c r="K126" s="95"/>
      <c r="L126" s="8"/>
      <c r="M126" s="8"/>
      <c r="N126" s="8"/>
      <c r="O126" s="94"/>
    </row>
    <row r="127" spans="2:15" ht="24.75" hidden="1" customHeight="1" x14ac:dyDescent="0.3">
      <c r="B127" s="92"/>
      <c r="C127" s="137" t="s">
        <v>87</v>
      </c>
      <c r="D127" s="141" t="e">
        <f>D114</f>
        <v>#DIV/0!</v>
      </c>
      <c r="E127" s="141" t="e">
        <f t="shared" ref="E127:I128" si="12">E114</f>
        <v>#VALUE!</v>
      </c>
      <c r="F127" s="141" t="e">
        <f t="shared" si="12"/>
        <v>#VALUE!</v>
      </c>
      <c r="G127" s="141" t="e">
        <f t="shared" si="12"/>
        <v>#VALUE!</v>
      </c>
      <c r="H127" s="141" t="e">
        <f t="shared" si="12"/>
        <v>#VALUE!</v>
      </c>
      <c r="I127" s="141" t="e">
        <f t="shared" si="12"/>
        <v>#VALUE!</v>
      </c>
      <c r="J127" s="95"/>
      <c r="K127" s="95"/>
      <c r="L127" s="8"/>
      <c r="M127" s="8"/>
      <c r="N127" s="8"/>
      <c r="O127" s="94"/>
    </row>
    <row r="128" spans="2:15" ht="13" hidden="1" x14ac:dyDescent="0.3">
      <c r="B128" s="92"/>
      <c r="C128" s="137" t="s">
        <v>8</v>
      </c>
      <c r="D128" s="142" t="e">
        <f>D115</f>
        <v>#DIV/0!</v>
      </c>
      <c r="E128" s="140" t="e">
        <f t="shared" si="12"/>
        <v>#VALUE!</v>
      </c>
      <c r="F128" s="140" t="e">
        <f t="shared" si="12"/>
        <v>#VALUE!</v>
      </c>
      <c r="G128" s="140" t="e">
        <f t="shared" si="12"/>
        <v>#VALUE!</v>
      </c>
      <c r="H128" s="140" t="e">
        <f t="shared" si="12"/>
        <v>#VALUE!</v>
      </c>
      <c r="I128" s="140" t="e">
        <f t="shared" si="12"/>
        <v>#VALUE!</v>
      </c>
      <c r="J128" s="95" t="s">
        <v>2</v>
      </c>
      <c r="K128" s="95"/>
      <c r="L128" s="8"/>
      <c r="M128" s="8"/>
      <c r="N128" s="8"/>
      <c r="O128" s="94"/>
    </row>
    <row r="129" spans="2:15" ht="39" hidden="1" x14ac:dyDescent="0.3">
      <c r="B129" s="92"/>
      <c r="C129" s="161" t="s">
        <v>84</v>
      </c>
      <c r="D129" s="146">
        <v>0.14929999999999999</v>
      </c>
      <c r="E129" s="162">
        <f>D129</f>
        <v>0.14929999999999999</v>
      </c>
      <c r="F129" s="162">
        <f>D129</f>
        <v>0.14929999999999999</v>
      </c>
      <c r="G129" s="162">
        <f>D129</f>
        <v>0.14929999999999999</v>
      </c>
      <c r="H129" s="162">
        <f>D129</f>
        <v>0.14929999999999999</v>
      </c>
      <c r="I129" s="162">
        <f>D129</f>
        <v>0.14929999999999999</v>
      </c>
      <c r="J129" s="95" t="s">
        <v>76</v>
      </c>
      <c r="K129" s="95"/>
      <c r="L129" s="8"/>
      <c r="M129" s="8"/>
      <c r="N129" s="8"/>
      <c r="O129" s="94"/>
    </row>
    <row r="130" spans="2:15" ht="26" hidden="1" x14ac:dyDescent="0.3">
      <c r="B130" s="92"/>
      <c r="C130" s="123" t="s">
        <v>80</v>
      </c>
      <c r="D130" s="124" t="e">
        <f>SUM(F53:F67)/COUNTIF(F53:F67,"&gt;0")</f>
        <v>#DIV/0!</v>
      </c>
      <c r="E130" s="124" t="str">
        <f>IF(OR($D$7="c",$D$7="h"),(E100)*PI()*($D$10/2)^2*7.48/10^6,IF($D$7="r",E100*$D$10*$D$11*7.48/10^6,IF($D$8="y",E100/10^6,"error")))</f>
        <v>error</v>
      </c>
      <c r="F130" s="124" t="str">
        <f>IF(OR($D$7="c",$D$7="h"),(F100)*PI()*($D$10/2)^2*7.48/10^6,IF($D$7="r",F100*$D$10*$D$11*7.48/10^6,IF($D$8="y",F100/10^6,"error")))</f>
        <v>error</v>
      </c>
      <c r="G130" s="124" t="str">
        <f>IF(OR($D$7="c",$D$7="h"),(G100)*PI()*($D$10/2)^2*7.48/10^6,IF($D$7="r",G100*$D$10*$D$11*7.48/10^6,IF($D$8="y",G100/10^6,"error")))</f>
        <v>error</v>
      </c>
      <c r="H130" s="124" t="str">
        <f>IF(OR($D$7="c",$D$7="h"),(H100)*PI()*($D$10/2)^2*7.48/10^6,IF($D$7="r",H100*$D$10*$D$11*7.48/10^6,IF($D$8="y",H100/10^6,"error")))</f>
        <v>error</v>
      </c>
      <c r="I130" s="124" t="str">
        <f>IF(OR($D$7="c",$D$7="h"),(I100)*PI()*($D$10/2)^2*7.48/10^6,IF($D$7="r",I100*$D$10*$D$11*7.48/10^6,IF($D$8="y",I100/10^6,"error")))</f>
        <v>error</v>
      </c>
      <c r="J130" s="95" t="s">
        <v>5</v>
      </c>
      <c r="K130" s="95"/>
      <c r="L130" s="8"/>
      <c r="M130" s="8"/>
      <c r="N130" s="8"/>
      <c r="O130" s="94"/>
    </row>
    <row r="131" spans="2:15" ht="39" hidden="1" x14ac:dyDescent="0.3">
      <c r="B131" s="92"/>
      <c r="C131" s="125" t="s">
        <v>81</v>
      </c>
      <c r="D131" s="124" t="e">
        <f>SUM(F53:F67)/COUNTIF(F53:F67,"&gt;0")+SUM(G53:G67)/COUNTIF(G53:G67,"&gt;0")</f>
        <v>#DIV/0!</v>
      </c>
      <c r="E131" s="11" t="str">
        <f>IF(OR($D$7="c",$D$7="h"),(E99)*PI()*($D$10/2)^2*7.48/10^6,IF($D$7="r",E99*$D$10*$D$11*7.48/10^6,IF($D$8="y",E99/10^6,"error")))</f>
        <v>error</v>
      </c>
      <c r="F131" s="11" t="str">
        <f>IF(OR($D$7="c",$D$7="h"),(F99)*PI()*($D$10/2)^2*7.48/10^6,IF($D$7="r",F99*$D$10*$D$11*7.48/10^6,IF($D$8="y",F99/10^6,"error")))</f>
        <v>error</v>
      </c>
      <c r="G131" s="11" t="str">
        <f>IF(OR($D$7="c",$D$7="h"),(G99)*PI()*($D$10/2)^2*7.48/10^6,IF($D$7="r",G99*$D$10*$D$11*7.48/10^6,IF($D$8="y",G99/10^6,"error")))</f>
        <v>error</v>
      </c>
      <c r="H131" s="11" t="str">
        <f>IF(OR($D$7="c",$D$7="h"),(H99)*PI()*($D$10/2)^2*7.48/10^6,IF($D$7="r",H99*$D$10*$D$11*7.48/10^6,IF($D$8="y",H99/10^6,"error")))</f>
        <v>error</v>
      </c>
      <c r="I131" s="11" t="str">
        <f>IF(OR($D$7="c",$D$7="h"),(I99)*PI()*($D$10/2)^2*7.48/10^6,IF($D$7="r",I99*$D$10*$D$11*7.48/10^6,IF($D$8="y",I99/10^6,"error")))</f>
        <v>error</v>
      </c>
      <c r="J131" s="95" t="s">
        <v>5</v>
      </c>
      <c r="K131" s="95"/>
      <c r="L131" s="8"/>
      <c r="M131" s="8"/>
      <c r="N131" s="8"/>
      <c r="O131" s="94"/>
    </row>
    <row r="132" spans="2:15" ht="13" hidden="1" x14ac:dyDescent="0.3">
      <c r="B132" s="92"/>
      <c r="C132" s="123" t="s">
        <v>83</v>
      </c>
      <c r="D132" s="124" t="e">
        <f t="shared" ref="D132:I133" si="13">D108</f>
        <v>#DIV/0!</v>
      </c>
      <c r="E132" s="124" t="e">
        <f t="shared" si="13"/>
        <v>#VALUE!</v>
      </c>
      <c r="F132" s="124" t="e">
        <f t="shared" si="13"/>
        <v>#VALUE!</v>
      </c>
      <c r="G132" s="124" t="e">
        <f t="shared" si="13"/>
        <v>#VALUE!</v>
      </c>
      <c r="H132" s="124" t="e">
        <f t="shared" si="13"/>
        <v>#VALUE!</v>
      </c>
      <c r="I132" s="124" t="e">
        <f t="shared" si="13"/>
        <v>#VALUE!</v>
      </c>
      <c r="J132" s="95" t="s">
        <v>2</v>
      </c>
      <c r="K132" s="95"/>
      <c r="L132" s="8"/>
      <c r="M132" s="8"/>
      <c r="N132" s="8"/>
      <c r="O132" s="94"/>
    </row>
    <row r="133" spans="2:15" ht="13" hidden="1" x14ac:dyDescent="0.3">
      <c r="B133" s="92"/>
      <c r="C133" s="123" t="s">
        <v>82</v>
      </c>
      <c r="D133" s="132" t="e">
        <f t="shared" si="13"/>
        <v>#DIV/0!</v>
      </c>
      <c r="E133" s="132" t="e">
        <f t="shared" si="13"/>
        <v>#VALUE!</v>
      </c>
      <c r="F133" s="132" t="e">
        <f t="shared" si="13"/>
        <v>#VALUE!</v>
      </c>
      <c r="G133" s="132" t="e">
        <f t="shared" si="13"/>
        <v>#VALUE!</v>
      </c>
      <c r="H133" s="132" t="e">
        <f t="shared" si="13"/>
        <v>#VALUE!</v>
      </c>
      <c r="I133" s="132" t="e">
        <f t="shared" si="13"/>
        <v>#VALUE!</v>
      </c>
      <c r="J133" s="95" t="s">
        <v>2</v>
      </c>
      <c r="K133" s="95"/>
      <c r="L133" s="8"/>
      <c r="M133" s="8"/>
      <c r="N133" s="8"/>
      <c r="O133" s="94"/>
    </row>
    <row r="134" spans="2:15" ht="39" hidden="1" x14ac:dyDescent="0.3">
      <c r="B134" s="92"/>
      <c r="C134" s="123" t="s">
        <v>91</v>
      </c>
      <c r="D134" s="144" t="e">
        <f t="shared" ref="D134:I134" si="14">(D130/(D131-D130))*(D133+D132)+D133+D132*(1-((D130/(D131-D130))-ROUNDDOWN((D130/(D131-D130)),0)))</f>
        <v>#DIV/0!</v>
      </c>
      <c r="E134" s="144" t="e">
        <f t="shared" si="14"/>
        <v>#VALUE!</v>
      </c>
      <c r="F134" s="144" t="e">
        <f t="shared" si="14"/>
        <v>#VALUE!</v>
      </c>
      <c r="G134" s="144" t="e">
        <f t="shared" si="14"/>
        <v>#VALUE!</v>
      </c>
      <c r="H134" s="144" t="e">
        <f t="shared" si="14"/>
        <v>#VALUE!</v>
      </c>
      <c r="I134" s="144" t="e">
        <f t="shared" si="14"/>
        <v>#VALUE!</v>
      </c>
      <c r="J134" s="95" t="s">
        <v>2</v>
      </c>
      <c r="K134" s="95"/>
      <c r="L134" s="8"/>
      <c r="M134" s="8"/>
      <c r="N134" s="8"/>
      <c r="O134" s="94"/>
    </row>
    <row r="135" spans="2:15" ht="40.5" hidden="1" customHeight="1" x14ac:dyDescent="0.3">
      <c r="B135" s="92"/>
      <c r="C135" s="161" t="s">
        <v>85</v>
      </c>
      <c r="D135" s="146">
        <v>1.57</v>
      </c>
      <c r="E135" s="163">
        <f>D135</f>
        <v>1.57</v>
      </c>
      <c r="F135" s="163">
        <f>D135</f>
        <v>1.57</v>
      </c>
      <c r="G135" s="163">
        <f>D135</f>
        <v>1.57</v>
      </c>
      <c r="H135" s="163">
        <f>D135</f>
        <v>1.57</v>
      </c>
      <c r="I135" s="163">
        <f>D135</f>
        <v>1.57</v>
      </c>
      <c r="J135" s="95" t="s">
        <v>78</v>
      </c>
      <c r="K135" s="95"/>
      <c r="L135" s="8"/>
      <c r="M135" s="8"/>
      <c r="N135" s="8"/>
      <c r="O135" s="94"/>
    </row>
    <row r="136" spans="2:15" ht="41" hidden="1" x14ac:dyDescent="0.3">
      <c r="B136" s="92"/>
      <c r="C136" s="143" t="s">
        <v>109</v>
      </c>
      <c r="D136" s="145" t="e">
        <f t="shared" ref="D136:I136" si="15">((EXP(-D129*D133)-EXP(-D129*(D132+D133)))*D135)/(D129*D132*(1+(D130/(D131-D130))*(1-EXP(-D129*(D132+D133)))))</f>
        <v>#DIV/0!</v>
      </c>
      <c r="E136" s="145" t="e">
        <f t="shared" si="15"/>
        <v>#VALUE!</v>
      </c>
      <c r="F136" s="145" t="e">
        <f t="shared" si="15"/>
        <v>#VALUE!</v>
      </c>
      <c r="G136" s="145" t="e">
        <f t="shared" si="15"/>
        <v>#VALUE!</v>
      </c>
      <c r="H136" s="145" t="e">
        <f t="shared" si="15"/>
        <v>#VALUE!</v>
      </c>
      <c r="I136" s="145" t="e">
        <f t="shared" si="15"/>
        <v>#VALUE!</v>
      </c>
      <c r="J136" s="95" t="s">
        <v>78</v>
      </c>
      <c r="K136" s="95"/>
      <c r="L136" s="8"/>
      <c r="M136" s="8"/>
      <c r="N136" s="8"/>
      <c r="O136" s="94"/>
    </row>
    <row r="137" spans="2:15" ht="41" hidden="1" x14ac:dyDescent="0.3">
      <c r="B137" s="92"/>
      <c r="C137" s="143" t="s">
        <v>108</v>
      </c>
      <c r="D137" s="145" t="e">
        <f t="shared" ref="D137:I137" si="16">D135*EXP(-D129*D134)</f>
        <v>#DIV/0!</v>
      </c>
      <c r="E137" s="145" t="e">
        <f t="shared" si="16"/>
        <v>#VALUE!</v>
      </c>
      <c r="F137" s="145" t="e">
        <f t="shared" si="16"/>
        <v>#VALUE!</v>
      </c>
      <c r="G137" s="145" t="e">
        <f t="shared" si="16"/>
        <v>#VALUE!</v>
      </c>
      <c r="H137" s="145" t="e">
        <f t="shared" si="16"/>
        <v>#VALUE!</v>
      </c>
      <c r="I137" s="145" t="e">
        <f t="shared" si="16"/>
        <v>#VALUE!</v>
      </c>
      <c r="J137" s="95" t="s">
        <v>78</v>
      </c>
      <c r="K137" s="95"/>
      <c r="L137" s="8"/>
      <c r="M137" s="8"/>
      <c r="N137" s="8"/>
      <c r="O137" s="94"/>
    </row>
    <row r="138" spans="2:15" hidden="1" x14ac:dyDescent="0.25">
      <c r="B138" s="92"/>
      <c r="C138" s="8" t="s">
        <v>110</v>
      </c>
      <c r="D138" s="8"/>
      <c r="E138" s="8"/>
      <c r="F138" s="8"/>
      <c r="G138" s="8"/>
      <c r="H138" s="8"/>
      <c r="I138" s="8"/>
      <c r="J138" s="8"/>
      <c r="K138" s="8"/>
      <c r="L138" s="8"/>
      <c r="M138" s="8"/>
      <c r="N138" s="8"/>
      <c r="O138" s="94"/>
    </row>
    <row r="139" spans="2:15" hidden="1" x14ac:dyDescent="0.25">
      <c r="B139" s="92"/>
      <c r="C139" s="424" t="s">
        <v>228</v>
      </c>
      <c r="D139" s="422"/>
      <c r="E139" s="422"/>
      <c r="F139" s="422"/>
      <c r="G139" s="422"/>
      <c r="H139" s="422"/>
      <c r="I139" s="422"/>
      <c r="J139" s="8"/>
      <c r="K139" s="8"/>
      <c r="L139" s="8"/>
      <c r="M139" s="8"/>
      <c r="N139" s="8"/>
      <c r="O139" s="94"/>
    </row>
    <row r="140" spans="2:15" hidden="1" x14ac:dyDescent="0.25">
      <c r="B140" s="92"/>
      <c r="C140" s="424" t="s">
        <v>229</v>
      </c>
      <c r="D140" s="422"/>
      <c r="E140" s="422"/>
      <c r="F140" s="422"/>
      <c r="G140" s="422"/>
      <c r="H140" s="422"/>
      <c r="I140" s="422"/>
      <c r="J140" s="8"/>
      <c r="K140" s="8"/>
      <c r="L140" s="8"/>
      <c r="M140" s="8"/>
      <c r="N140" s="8"/>
      <c r="O140" s="94"/>
    </row>
    <row r="141" spans="2:15" hidden="1" x14ac:dyDescent="0.25">
      <c r="B141" s="92"/>
      <c r="C141" s="424" t="s">
        <v>230</v>
      </c>
      <c r="D141" s="422"/>
      <c r="E141" s="422"/>
      <c r="F141" s="422"/>
      <c r="G141" s="422"/>
      <c r="H141" s="422"/>
      <c r="I141" s="422"/>
      <c r="J141" s="8"/>
      <c r="K141" s="8"/>
      <c r="L141" s="8"/>
      <c r="M141" s="8"/>
      <c r="N141" s="8"/>
      <c r="O141" s="94"/>
    </row>
    <row r="142" spans="2:15" hidden="1" x14ac:dyDescent="0.25">
      <c r="B142" s="92"/>
      <c r="C142" s="422" t="s">
        <v>231</v>
      </c>
      <c r="D142" s="422"/>
      <c r="E142" s="422"/>
      <c r="F142" s="422"/>
      <c r="G142" s="422"/>
      <c r="H142" s="422"/>
      <c r="I142" s="422"/>
      <c r="J142" s="8"/>
      <c r="K142" s="8"/>
      <c r="L142" s="8"/>
      <c r="M142" s="8"/>
      <c r="N142" s="8"/>
      <c r="O142" s="94"/>
    </row>
    <row r="143" spans="2:15" ht="26.25" hidden="1" customHeight="1" thickBot="1" x14ac:dyDescent="0.3">
      <c r="B143" s="101"/>
      <c r="C143" s="423"/>
      <c r="D143" s="423"/>
      <c r="E143" s="423"/>
      <c r="F143" s="423"/>
      <c r="G143" s="423"/>
      <c r="H143" s="423"/>
      <c r="I143" s="423"/>
      <c r="J143" s="102"/>
      <c r="K143" s="102"/>
      <c r="L143" s="102"/>
      <c r="M143" s="102"/>
      <c r="N143" s="102"/>
      <c r="O143" s="103"/>
    </row>
  </sheetData>
  <mergeCells count="4">
    <mergeCell ref="E11:F12"/>
    <mergeCell ref="H74:I74"/>
    <mergeCell ref="I77:L80"/>
    <mergeCell ref="D80:F83"/>
  </mergeCells>
  <conditionalFormatting sqref="D114:I114">
    <cfRule type="cellIs" dxfId="71" priority="7" stopIfTrue="1" operator="greaterThanOrEqual">
      <formula>1</formula>
    </cfRule>
    <cfRule type="cellIs" dxfId="70" priority="8" stopIfTrue="1" operator="lessThan">
      <formula>1</formula>
    </cfRule>
  </conditionalFormatting>
  <conditionalFormatting sqref="D115:I115">
    <cfRule type="cellIs" dxfId="69" priority="5" stopIfTrue="1" operator="greaterThan">
      <formula>5</formula>
    </cfRule>
    <cfRule type="cellIs" dxfId="68" priority="6" stopIfTrue="1" operator="lessThanOrEqual">
      <formula>5</formula>
    </cfRule>
  </conditionalFormatting>
  <conditionalFormatting sqref="E79">
    <cfRule type="cellIs" dxfId="67" priority="3" stopIfTrue="1" operator="lessThanOrEqual">
      <formula>5</formula>
    </cfRule>
    <cfRule type="cellIs" dxfId="66" priority="4" stopIfTrue="1" operator="greaterThan">
      <formula>5</formula>
    </cfRule>
  </conditionalFormatting>
  <conditionalFormatting sqref="J75">
    <cfRule type="cellIs" dxfId="65" priority="1" stopIfTrue="1" operator="greaterThanOrEqual">
      <formula>1</formula>
    </cfRule>
    <cfRule type="cellIs" dxfId="64" priority="2" stopIfTrue="1" operator="lessThan">
      <formula>1</formula>
    </cfRule>
  </conditionalFormatting>
  <pageMargins left="0.75" right="0.75" top="1" bottom="1" header="0.5" footer="0.5"/>
  <pageSetup scale="63" fitToHeight="4" orientation="landscape" r:id="rId1"/>
  <headerFooter alignWithMargins="0"/>
  <rowBreaks count="2" manualBreakCount="2">
    <brk id="48" max="16383" man="1"/>
    <brk id="84"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9016E-960F-47FA-978D-2765FF499450}">
  <dimension ref="A1:T143"/>
  <sheetViews>
    <sheetView showGridLines="0" topLeftCell="A43" zoomScale="80" zoomScaleNormal="80" workbookViewId="0">
      <selection activeCell="I77" sqref="I77:L80"/>
    </sheetView>
  </sheetViews>
  <sheetFormatPr defaultColWidth="9.1796875" defaultRowHeight="12.5" x14ac:dyDescent="0.25"/>
  <cols>
    <col min="1" max="2" width="1.54296875" style="1" customWidth="1"/>
    <col min="3" max="3" width="26" style="1" customWidth="1"/>
    <col min="4" max="4" width="17.81640625" style="1" customWidth="1"/>
    <col min="5" max="6" width="20.81640625" style="1" customWidth="1"/>
    <col min="7" max="7" width="17.81640625" style="1" customWidth="1"/>
    <col min="8" max="9" width="23.81640625" style="1" customWidth="1"/>
    <col min="10" max="10" width="16.453125" style="1" customWidth="1"/>
    <col min="11" max="11" width="12.81640625" style="1" customWidth="1"/>
    <col min="12" max="12" width="16.1796875" style="1" customWidth="1"/>
    <col min="13" max="13" width="9.1796875" style="1"/>
    <col min="14" max="14" width="9.81640625" style="1" customWidth="1"/>
    <col min="15" max="17" width="9.1796875" style="1"/>
    <col min="18" max="18" width="9.1796875" style="485" customWidth="1"/>
    <col min="19" max="16384" width="9.1796875" style="1"/>
  </cols>
  <sheetData>
    <row r="1" spans="2:20" ht="13" thickBot="1" x14ac:dyDescent="0.3"/>
    <row r="2" spans="2:20" ht="20.25" customHeight="1" thickBot="1" x14ac:dyDescent="0.3">
      <c r="B2" s="425" t="s">
        <v>298</v>
      </c>
      <c r="C2" s="426"/>
      <c r="D2" s="426"/>
      <c r="E2" s="426"/>
      <c r="F2" s="426"/>
      <c r="G2" s="426"/>
      <c r="H2" s="426"/>
      <c r="I2" s="426"/>
      <c r="J2" s="426"/>
      <c r="K2" s="426"/>
      <c r="L2" s="426"/>
      <c r="M2" s="426"/>
      <c r="N2" s="426"/>
      <c r="O2" s="427"/>
    </row>
    <row r="3" spans="2:20" ht="18.5" thickBot="1" x14ac:dyDescent="0.45">
      <c r="B3" s="116" t="s">
        <v>187</v>
      </c>
      <c r="C3" s="117"/>
      <c r="D3" s="118"/>
      <c r="E3" s="117"/>
      <c r="F3" s="118"/>
      <c r="G3" s="118"/>
      <c r="H3" s="118"/>
      <c r="I3" s="118"/>
      <c r="J3" s="118"/>
      <c r="K3" s="118"/>
      <c r="L3" s="118"/>
      <c r="M3" s="118"/>
      <c r="N3" s="118"/>
      <c r="O3" s="119"/>
    </row>
    <row r="4" spans="2:20" ht="16" customHeight="1" x14ac:dyDescent="0.3">
      <c r="B4" s="149"/>
      <c r="C4" s="329"/>
      <c r="D4" s="90"/>
      <c r="E4" s="90"/>
      <c r="F4" s="90"/>
      <c r="G4" s="90"/>
      <c r="H4" s="90"/>
      <c r="I4" s="90"/>
      <c r="J4" s="90"/>
      <c r="K4" s="90"/>
      <c r="L4" s="90"/>
      <c r="M4" s="90"/>
      <c r="N4" s="90"/>
      <c r="O4" s="91"/>
    </row>
    <row r="5" spans="2:20" ht="16" customHeight="1" x14ac:dyDescent="0.3">
      <c r="B5" s="92"/>
      <c r="C5" s="152" t="s">
        <v>7</v>
      </c>
      <c r="D5" s="153">
        <f>'Tank Summary'!M12</f>
        <v>0</v>
      </c>
      <c r="E5" s="93"/>
      <c r="F5" s="93"/>
      <c r="G5" s="8"/>
      <c r="H5" s="8"/>
      <c r="I5" s="8"/>
      <c r="J5" s="8"/>
      <c r="K5" s="8"/>
      <c r="L5" s="8"/>
      <c r="M5" s="8"/>
      <c r="N5" s="8"/>
      <c r="O5" s="94"/>
    </row>
    <row r="6" spans="2:20" ht="16" customHeight="1" x14ac:dyDescent="0.3">
      <c r="B6" s="92"/>
      <c r="C6" s="147" t="s">
        <v>96</v>
      </c>
      <c r="D6" s="154">
        <f>'Tank Summary'!M13</f>
        <v>0</v>
      </c>
      <c r="E6" s="93"/>
      <c r="F6" s="93"/>
      <c r="G6" s="8"/>
      <c r="H6" s="8"/>
      <c r="I6" s="8"/>
      <c r="J6" s="8"/>
      <c r="K6" s="8"/>
      <c r="L6" s="8"/>
      <c r="M6" s="8"/>
      <c r="N6" s="8"/>
      <c r="O6" s="94"/>
    </row>
    <row r="7" spans="2:20" ht="40.5" customHeight="1" x14ac:dyDescent="0.3">
      <c r="B7" s="92"/>
      <c r="C7" s="155" t="s">
        <v>64</v>
      </c>
      <c r="D7" s="88">
        <f>'Tank Summary'!M14</f>
        <v>0</v>
      </c>
      <c r="E7" s="150"/>
      <c r="F7" s="93"/>
      <c r="G7" s="151"/>
      <c r="H7" s="8"/>
      <c r="I7" s="8"/>
      <c r="J7" s="8"/>
      <c r="K7" s="8"/>
      <c r="L7" s="8"/>
      <c r="M7" s="8"/>
      <c r="N7" s="8"/>
      <c r="O7" s="94"/>
    </row>
    <row r="8" spans="2:20" ht="39.75" customHeight="1" x14ac:dyDescent="0.3">
      <c r="B8" s="92"/>
      <c r="C8" s="155" t="s">
        <v>66</v>
      </c>
      <c r="D8" s="156">
        <f>'Tank Summary'!M15</f>
        <v>0</v>
      </c>
      <c r="E8" s="150"/>
      <c r="F8" s="93"/>
      <c r="G8" s="151"/>
      <c r="H8" s="8"/>
      <c r="I8" s="8"/>
      <c r="J8" s="8"/>
      <c r="K8" s="8"/>
      <c r="L8" s="8"/>
      <c r="M8" s="8"/>
      <c r="N8" s="8"/>
      <c r="O8" s="94"/>
    </row>
    <row r="9" spans="2:20" ht="18" customHeight="1" x14ac:dyDescent="0.3">
      <c r="B9" s="92"/>
      <c r="C9" s="147" t="s">
        <v>304</v>
      </c>
      <c r="D9" s="157">
        <f>'Tank Summary'!M20</f>
        <v>0</v>
      </c>
      <c r="E9" s="93" t="str">
        <f>IF(OR(D7="c", D7="r",D7="h"),"ft","")</f>
        <v/>
      </c>
      <c r="F9" s="96"/>
      <c r="G9" s="8"/>
      <c r="H9" s="8"/>
      <c r="I9" s="8"/>
      <c r="J9" s="8"/>
      <c r="K9" s="8"/>
      <c r="L9" s="8"/>
      <c r="M9" s="8"/>
      <c r="N9" s="8"/>
      <c r="O9" s="94"/>
    </row>
    <row r="10" spans="2:20" ht="18" customHeight="1" x14ac:dyDescent="0.3">
      <c r="B10" s="92"/>
      <c r="C10" s="158" t="str">
        <f>IF(OR(D7="c", D7="h"), "Tank diameter, D:", IF(D7="r","Longest Sidewall Length, D:","Maximum diameter, D:"))</f>
        <v>Maximum diameter, D:</v>
      </c>
      <c r="D10" s="157">
        <f>'Tank Summary'!M17</f>
        <v>0</v>
      </c>
      <c r="E10" s="93" t="str">
        <f>IF(OR(D7="c", D7="r",D7="h"),"ft","")</f>
        <v/>
      </c>
      <c r="F10" s="93"/>
      <c r="G10" s="151"/>
      <c r="H10" s="8"/>
      <c r="I10" s="8"/>
      <c r="J10" s="8"/>
      <c r="K10" s="8"/>
      <c r="L10" s="8"/>
      <c r="M10" s="8"/>
      <c r="N10" s="8"/>
      <c r="O10" s="94"/>
    </row>
    <row r="11" spans="2:20" ht="18" customHeight="1" x14ac:dyDescent="0.3">
      <c r="B11" s="92"/>
      <c r="C11" s="158" t="str">
        <f>IF(OR(D7="c", D7="h"),"",IF(D7="r","Shortest Sidewall Length, L:",""))</f>
        <v/>
      </c>
      <c r="D11" s="157">
        <f>'Tank Summary'!M18</f>
        <v>0</v>
      </c>
      <c r="E11" s="501" t="str">
        <f>IF(OR(D7="c", D7="h"),"",IF(D7="r","ft",IF(D8="y","","Spreadsheet is not set up for shapes other than cylindrical, hydropillar, &amp; rectangular unless SCADA reports tank volume!")))</f>
        <v>Spreadsheet is not set up for shapes other than cylindrical, hydropillar, &amp; rectangular unless SCADA reports tank volume!</v>
      </c>
      <c r="F11" s="502"/>
      <c r="G11" s="151"/>
      <c r="H11" s="8"/>
      <c r="I11" s="8"/>
      <c r="J11" s="8"/>
      <c r="K11" s="8"/>
      <c r="L11" s="8"/>
      <c r="M11" s="8"/>
      <c r="N11" s="8"/>
      <c r="O11" s="94"/>
    </row>
    <row r="12" spans="2:20" ht="18" customHeight="1" x14ac:dyDescent="0.3">
      <c r="B12" s="92"/>
      <c r="C12" s="152" t="str">
        <f>IF(D8="y", "Volume Cutoff Ratio:", "H/D Ratio:")</f>
        <v>H/D Ratio:</v>
      </c>
      <c r="D12" s="88" t="e">
        <f>IF(D8="y", (PI()/4)*D10^3, 'Tank Summary'!M22)</f>
        <v>#DIV/0!</v>
      </c>
      <c r="E12" s="501"/>
      <c r="F12" s="502"/>
      <c r="G12" s="151"/>
      <c r="H12" s="8"/>
      <c r="I12" s="8"/>
      <c r="J12" s="8"/>
      <c r="K12" s="8"/>
      <c r="L12" s="8"/>
      <c r="M12" s="8"/>
      <c r="N12" s="8"/>
      <c r="O12" s="94"/>
    </row>
    <row r="13" spans="2:20" ht="18" customHeight="1" x14ac:dyDescent="0.3">
      <c r="B13" s="92"/>
      <c r="C13" s="152" t="s">
        <v>10</v>
      </c>
      <c r="D13" s="88">
        <f>'Tank Summary'!M19</f>
        <v>0</v>
      </c>
      <c r="E13" s="93" t="s">
        <v>1</v>
      </c>
      <c r="F13" s="93"/>
      <c r="G13" s="8"/>
      <c r="H13" s="8"/>
      <c r="I13" s="8"/>
      <c r="J13" s="8"/>
      <c r="K13" s="8"/>
      <c r="L13" s="8"/>
      <c r="M13" s="8"/>
      <c r="N13" s="8"/>
      <c r="O13" s="94"/>
    </row>
    <row r="14" spans="2:20" ht="16" customHeight="1" x14ac:dyDescent="0.25">
      <c r="B14" s="92"/>
      <c r="C14" s="29"/>
      <c r="D14" s="29"/>
      <c r="E14" s="29"/>
      <c r="F14" s="29"/>
      <c r="G14" s="29"/>
      <c r="H14" s="29"/>
      <c r="I14" s="29"/>
      <c r="J14" s="8"/>
      <c r="K14" s="8"/>
      <c r="L14" s="8"/>
      <c r="M14" s="8"/>
      <c r="N14" s="8"/>
      <c r="O14" s="94"/>
      <c r="Q14" s="481"/>
      <c r="R14" s="481"/>
      <c r="S14" s="481"/>
      <c r="T14" s="481"/>
    </row>
    <row r="15" spans="2:20" ht="16" customHeight="1" x14ac:dyDescent="0.3">
      <c r="B15" s="92"/>
      <c r="C15" s="95" t="s">
        <v>206</v>
      </c>
      <c r="D15" s="53"/>
      <c r="E15" s="53"/>
      <c r="F15" s="53"/>
      <c r="G15" s="96"/>
      <c r="H15" s="338"/>
      <c r="I15" s="53"/>
      <c r="J15" s="8"/>
      <c r="K15" s="8"/>
      <c r="L15" s="97"/>
      <c r="M15" s="8"/>
      <c r="N15" s="8"/>
      <c r="O15" s="94"/>
      <c r="Q15" s="481"/>
      <c r="R15" s="481"/>
      <c r="S15" s="481"/>
      <c r="T15" s="481"/>
    </row>
    <row r="16" spans="2:20" ht="13" x14ac:dyDescent="0.3">
      <c r="B16" s="92"/>
      <c r="C16" s="13" t="s">
        <v>19</v>
      </c>
      <c r="D16" s="13" t="s">
        <v>20</v>
      </c>
      <c r="E16" s="13" t="str">
        <f>IF(D8="y","Vol at Start of Fill","Min Level")</f>
        <v>Min Level</v>
      </c>
      <c r="F16" s="13" t="str">
        <f>IF(D8="y","Vol at End of Fill","Max Level")</f>
        <v>Max Level</v>
      </c>
      <c r="G16" s="13" t="s">
        <v>21</v>
      </c>
      <c r="H16" s="13" t="s">
        <v>22</v>
      </c>
      <c r="I16" s="8"/>
      <c r="K16" s="8"/>
      <c r="L16" s="8"/>
      <c r="M16" s="8"/>
      <c r="N16" s="8"/>
      <c r="O16" s="94"/>
      <c r="Q16" s="481"/>
      <c r="R16" s="482" t="s">
        <v>285</v>
      </c>
      <c r="S16" s="481"/>
      <c r="T16" s="481"/>
    </row>
    <row r="17" spans="2:20" ht="13" x14ac:dyDescent="0.3">
      <c r="B17" s="92"/>
      <c r="C17" s="14"/>
      <c r="D17" s="14"/>
      <c r="E17" s="14" t="str">
        <f>IF(D8="y","Gal","Ft")</f>
        <v>Ft</v>
      </c>
      <c r="F17" s="14" t="str">
        <f>IF(D8="y","Gal","Ft")</f>
        <v>Ft</v>
      </c>
      <c r="G17" s="14"/>
      <c r="H17" s="14" t="s">
        <v>23</v>
      </c>
      <c r="I17" s="8"/>
      <c r="K17" s="8"/>
      <c r="L17" s="8"/>
      <c r="M17" s="8"/>
      <c r="N17" s="8"/>
      <c r="O17" s="94"/>
      <c r="Q17" s="481"/>
      <c r="R17" s="482" t="str">
        <f>IF(D8="y","Gal","Ft")</f>
        <v>Ft</v>
      </c>
      <c r="S17" s="481"/>
      <c r="T17" s="481"/>
    </row>
    <row r="18" spans="2:20" ht="13" x14ac:dyDescent="0.3">
      <c r="B18" s="92"/>
      <c r="C18" s="339"/>
      <c r="D18" s="340"/>
      <c r="E18" s="341"/>
      <c r="F18" s="341"/>
      <c r="G18" s="89">
        <f t="shared" ref="G18:G47" si="0">C18+D18</f>
        <v>0</v>
      </c>
      <c r="H18" s="12">
        <v>0</v>
      </c>
      <c r="I18" s="8">
        <v>1</v>
      </c>
      <c r="K18" s="8"/>
      <c r="L18" s="8"/>
      <c r="M18" s="8"/>
      <c r="N18" s="8"/>
      <c r="O18" s="94"/>
      <c r="Q18" s="481"/>
      <c r="R18" s="483" t="str">
        <f t="shared" ref="R18:R47" si="1">IF(G18,E18+F18,"")</f>
        <v/>
      </c>
      <c r="S18" s="481"/>
      <c r="T18" s="481"/>
    </row>
    <row r="19" spans="2:20" ht="13" x14ac:dyDescent="0.3">
      <c r="B19" s="92"/>
      <c r="C19" s="339"/>
      <c r="D19" s="340"/>
      <c r="E19" s="341"/>
      <c r="F19" s="341"/>
      <c r="G19" s="89">
        <f t="shared" si="0"/>
        <v>0</v>
      </c>
      <c r="H19" s="12" t="str">
        <f t="shared" ref="H19:H47" si="2">IF(G19,G19-$G$18,"")</f>
        <v/>
      </c>
      <c r="I19" s="8"/>
      <c r="K19" s="8"/>
      <c r="L19" s="8"/>
      <c r="M19" s="8"/>
      <c r="N19" s="8"/>
      <c r="O19" s="94"/>
      <c r="Q19" s="481"/>
      <c r="R19" s="483" t="str">
        <f t="shared" si="1"/>
        <v/>
      </c>
      <c r="S19" s="481"/>
      <c r="T19" s="481"/>
    </row>
    <row r="20" spans="2:20" ht="13" x14ac:dyDescent="0.3">
      <c r="B20" s="92"/>
      <c r="C20" s="347"/>
      <c r="D20" s="348"/>
      <c r="E20" s="349"/>
      <c r="F20" s="349"/>
      <c r="G20" s="350">
        <f t="shared" si="0"/>
        <v>0</v>
      </c>
      <c r="H20" s="351" t="str">
        <f t="shared" si="2"/>
        <v/>
      </c>
      <c r="I20" s="8">
        <v>2</v>
      </c>
      <c r="K20" s="8"/>
      <c r="L20" s="8"/>
      <c r="M20" s="8"/>
      <c r="N20" s="8"/>
      <c r="O20" s="94"/>
      <c r="Q20" s="481"/>
      <c r="R20" s="483" t="str">
        <f t="shared" si="1"/>
        <v/>
      </c>
      <c r="S20" s="481"/>
      <c r="T20" s="481"/>
    </row>
    <row r="21" spans="2:20" ht="13" x14ac:dyDescent="0.3">
      <c r="B21" s="92"/>
      <c r="C21" s="347"/>
      <c r="D21" s="348"/>
      <c r="E21" s="349"/>
      <c r="F21" s="349"/>
      <c r="G21" s="350">
        <f t="shared" si="0"/>
        <v>0</v>
      </c>
      <c r="H21" s="351" t="str">
        <f t="shared" si="2"/>
        <v/>
      </c>
      <c r="I21" s="8"/>
      <c r="K21" s="8"/>
      <c r="L21" s="8"/>
      <c r="M21" s="8"/>
      <c r="N21" s="8"/>
      <c r="O21" s="94"/>
      <c r="Q21" s="481"/>
      <c r="R21" s="483" t="str">
        <f t="shared" si="1"/>
        <v/>
      </c>
      <c r="S21" s="481"/>
      <c r="T21" s="481"/>
    </row>
    <row r="22" spans="2:20" ht="13" x14ac:dyDescent="0.3">
      <c r="B22" s="92"/>
      <c r="C22" s="339"/>
      <c r="D22" s="340"/>
      <c r="E22" s="341"/>
      <c r="F22" s="341"/>
      <c r="G22" s="89">
        <f t="shared" si="0"/>
        <v>0</v>
      </c>
      <c r="H22" s="12" t="str">
        <f t="shared" si="2"/>
        <v/>
      </c>
      <c r="I22" s="8">
        <v>3</v>
      </c>
      <c r="K22" s="8"/>
      <c r="L22" s="8"/>
      <c r="M22" s="8"/>
      <c r="N22" s="8"/>
      <c r="O22" s="94"/>
      <c r="Q22" s="481"/>
      <c r="R22" s="483" t="str">
        <f t="shared" si="1"/>
        <v/>
      </c>
      <c r="S22" s="481"/>
      <c r="T22" s="481"/>
    </row>
    <row r="23" spans="2:20" ht="13" x14ac:dyDescent="0.3">
      <c r="B23" s="92"/>
      <c r="C23" s="339"/>
      <c r="D23" s="340"/>
      <c r="E23" s="341"/>
      <c r="F23" s="341"/>
      <c r="G23" s="89">
        <f t="shared" si="0"/>
        <v>0</v>
      </c>
      <c r="H23" s="12" t="str">
        <f t="shared" si="2"/>
        <v/>
      </c>
      <c r="I23" s="8"/>
      <c r="K23" s="8"/>
      <c r="L23" s="8"/>
      <c r="M23" s="8"/>
      <c r="N23" s="8"/>
      <c r="O23" s="94"/>
      <c r="Q23" s="481"/>
      <c r="R23" s="483" t="str">
        <f t="shared" si="1"/>
        <v/>
      </c>
      <c r="S23" s="481"/>
      <c r="T23" s="481"/>
    </row>
    <row r="24" spans="2:20" ht="13" x14ac:dyDescent="0.3">
      <c r="B24" s="92"/>
      <c r="C24" s="347"/>
      <c r="D24" s="348"/>
      <c r="E24" s="349"/>
      <c r="F24" s="349"/>
      <c r="G24" s="350">
        <f t="shared" si="0"/>
        <v>0</v>
      </c>
      <c r="H24" s="351" t="str">
        <f t="shared" si="2"/>
        <v/>
      </c>
      <c r="I24" s="8">
        <v>4</v>
      </c>
      <c r="K24" s="8"/>
      <c r="L24" s="8"/>
      <c r="M24" s="8"/>
      <c r="N24" s="8"/>
      <c r="O24" s="94"/>
      <c r="Q24" s="481"/>
      <c r="R24" s="483" t="str">
        <f t="shared" si="1"/>
        <v/>
      </c>
      <c r="S24" s="481"/>
      <c r="T24" s="481"/>
    </row>
    <row r="25" spans="2:20" ht="13" x14ac:dyDescent="0.3">
      <c r="B25" s="92"/>
      <c r="C25" s="347"/>
      <c r="D25" s="348"/>
      <c r="E25" s="349"/>
      <c r="F25" s="349"/>
      <c r="G25" s="350">
        <f t="shared" si="0"/>
        <v>0</v>
      </c>
      <c r="H25" s="351" t="str">
        <f t="shared" si="2"/>
        <v/>
      </c>
      <c r="I25" s="8"/>
      <c r="K25" s="8"/>
      <c r="L25" s="8"/>
      <c r="M25" s="8"/>
      <c r="N25" s="8"/>
      <c r="O25" s="94"/>
      <c r="Q25" s="481"/>
      <c r="R25" s="483" t="str">
        <f t="shared" si="1"/>
        <v/>
      </c>
      <c r="S25" s="481"/>
      <c r="T25" s="481"/>
    </row>
    <row r="26" spans="2:20" ht="13" x14ac:dyDescent="0.3">
      <c r="B26" s="92"/>
      <c r="C26" s="342"/>
      <c r="D26" s="340"/>
      <c r="E26" s="341"/>
      <c r="F26" s="341"/>
      <c r="G26" s="89">
        <f t="shared" si="0"/>
        <v>0</v>
      </c>
      <c r="H26" s="12" t="str">
        <f t="shared" si="2"/>
        <v/>
      </c>
      <c r="I26" s="8">
        <v>5</v>
      </c>
      <c r="K26" s="8"/>
      <c r="L26" s="8"/>
      <c r="M26" s="8"/>
      <c r="N26" s="8"/>
      <c r="O26" s="94"/>
      <c r="Q26" s="481"/>
      <c r="R26" s="483" t="str">
        <f t="shared" si="1"/>
        <v/>
      </c>
      <c r="S26" s="481"/>
      <c r="T26" s="481"/>
    </row>
    <row r="27" spans="2:20" ht="13" x14ac:dyDescent="0.3">
      <c r="B27" s="92"/>
      <c r="C27" s="342"/>
      <c r="D27" s="340"/>
      <c r="E27" s="341"/>
      <c r="F27" s="341"/>
      <c r="G27" s="89">
        <f t="shared" si="0"/>
        <v>0</v>
      </c>
      <c r="H27" s="12" t="str">
        <f t="shared" si="2"/>
        <v/>
      </c>
      <c r="I27" s="8"/>
      <c r="K27" s="8"/>
      <c r="L27" s="8"/>
      <c r="M27" s="8"/>
      <c r="N27" s="8"/>
      <c r="O27" s="94"/>
      <c r="Q27" s="481"/>
      <c r="R27" s="483" t="str">
        <f t="shared" si="1"/>
        <v/>
      </c>
      <c r="S27" s="481"/>
      <c r="T27" s="481"/>
    </row>
    <row r="28" spans="2:20" ht="13" x14ac:dyDescent="0.3">
      <c r="B28" s="92"/>
      <c r="C28" s="347"/>
      <c r="D28" s="348"/>
      <c r="E28" s="349"/>
      <c r="F28" s="349"/>
      <c r="G28" s="350">
        <f t="shared" si="0"/>
        <v>0</v>
      </c>
      <c r="H28" s="351" t="str">
        <f t="shared" si="2"/>
        <v/>
      </c>
      <c r="I28" s="8">
        <v>6</v>
      </c>
      <c r="K28" s="8"/>
      <c r="L28" s="8"/>
      <c r="M28" s="8"/>
      <c r="N28" s="8"/>
      <c r="O28" s="94"/>
      <c r="Q28" s="481"/>
      <c r="R28" s="483" t="str">
        <f t="shared" si="1"/>
        <v/>
      </c>
      <c r="S28" s="481"/>
      <c r="T28" s="481"/>
    </row>
    <row r="29" spans="2:20" ht="13" x14ac:dyDescent="0.3">
      <c r="B29" s="92"/>
      <c r="C29" s="347"/>
      <c r="D29" s="348"/>
      <c r="E29" s="349"/>
      <c r="F29" s="349"/>
      <c r="G29" s="350">
        <f t="shared" si="0"/>
        <v>0</v>
      </c>
      <c r="H29" s="351" t="str">
        <f t="shared" si="2"/>
        <v/>
      </c>
      <c r="I29" s="8"/>
      <c r="K29" s="8"/>
      <c r="L29" s="8"/>
      <c r="M29" s="8"/>
      <c r="N29" s="8"/>
      <c r="O29" s="94"/>
      <c r="Q29" s="481"/>
      <c r="R29" s="483" t="str">
        <f t="shared" si="1"/>
        <v/>
      </c>
      <c r="S29" s="481"/>
      <c r="T29" s="481"/>
    </row>
    <row r="30" spans="2:20" ht="13" x14ac:dyDescent="0.3">
      <c r="B30" s="92"/>
      <c r="C30" s="342"/>
      <c r="D30" s="340"/>
      <c r="E30" s="341"/>
      <c r="F30" s="343"/>
      <c r="G30" s="89">
        <f t="shared" si="0"/>
        <v>0</v>
      </c>
      <c r="H30" s="12" t="str">
        <f t="shared" si="2"/>
        <v/>
      </c>
      <c r="I30" s="8">
        <v>7</v>
      </c>
      <c r="K30" s="8"/>
      <c r="L30" s="8"/>
      <c r="M30" s="8"/>
      <c r="N30" s="8"/>
      <c r="O30" s="94"/>
      <c r="Q30" s="481"/>
      <c r="R30" s="483" t="str">
        <f t="shared" si="1"/>
        <v/>
      </c>
      <c r="S30" s="481"/>
      <c r="T30" s="481"/>
    </row>
    <row r="31" spans="2:20" ht="13" x14ac:dyDescent="0.3">
      <c r="B31" s="92"/>
      <c r="C31" s="342"/>
      <c r="D31" s="340"/>
      <c r="E31" s="341"/>
      <c r="F31" s="341"/>
      <c r="G31" s="89">
        <f t="shared" si="0"/>
        <v>0</v>
      </c>
      <c r="H31" s="12" t="str">
        <f t="shared" si="2"/>
        <v/>
      </c>
      <c r="I31" s="8"/>
      <c r="K31" s="8"/>
      <c r="L31" s="8"/>
      <c r="M31" s="8"/>
      <c r="N31" s="8"/>
      <c r="O31" s="94"/>
      <c r="Q31" s="481"/>
      <c r="R31" s="483" t="str">
        <f t="shared" si="1"/>
        <v/>
      </c>
      <c r="S31" s="481"/>
      <c r="T31" s="481"/>
    </row>
    <row r="32" spans="2:20" ht="13" x14ac:dyDescent="0.3">
      <c r="B32" s="92"/>
      <c r="C32" s="347"/>
      <c r="D32" s="348"/>
      <c r="E32" s="349"/>
      <c r="F32" s="349"/>
      <c r="G32" s="350">
        <f t="shared" si="0"/>
        <v>0</v>
      </c>
      <c r="H32" s="351" t="str">
        <f t="shared" si="2"/>
        <v/>
      </c>
      <c r="I32" s="8">
        <v>8</v>
      </c>
      <c r="K32" s="8"/>
      <c r="L32" s="8"/>
      <c r="M32" s="8"/>
      <c r="N32" s="8"/>
      <c r="O32" s="94"/>
      <c r="Q32" s="481"/>
      <c r="R32" s="483" t="str">
        <f t="shared" si="1"/>
        <v/>
      </c>
      <c r="S32" s="481"/>
      <c r="T32" s="481"/>
    </row>
    <row r="33" spans="2:20" ht="13" x14ac:dyDescent="0.3">
      <c r="B33" s="92"/>
      <c r="C33" s="347"/>
      <c r="D33" s="348"/>
      <c r="E33" s="349"/>
      <c r="F33" s="349"/>
      <c r="G33" s="350">
        <f t="shared" si="0"/>
        <v>0</v>
      </c>
      <c r="H33" s="351" t="str">
        <f t="shared" si="2"/>
        <v/>
      </c>
      <c r="I33" s="8"/>
      <c r="K33" s="8"/>
      <c r="L33" s="8"/>
      <c r="M33" s="8"/>
      <c r="N33" s="8"/>
      <c r="O33" s="94"/>
      <c r="Q33" s="481"/>
      <c r="R33" s="483" t="str">
        <f t="shared" si="1"/>
        <v/>
      </c>
      <c r="S33" s="481"/>
      <c r="T33" s="481"/>
    </row>
    <row r="34" spans="2:20" ht="13" x14ac:dyDescent="0.3">
      <c r="B34" s="92"/>
      <c r="C34" s="342"/>
      <c r="D34" s="340"/>
      <c r="E34" s="341"/>
      <c r="F34" s="341"/>
      <c r="G34" s="89">
        <f t="shared" si="0"/>
        <v>0</v>
      </c>
      <c r="H34" s="12" t="str">
        <f t="shared" si="2"/>
        <v/>
      </c>
      <c r="I34" s="8">
        <v>9</v>
      </c>
      <c r="K34" s="8"/>
      <c r="L34" s="8"/>
      <c r="M34" s="8"/>
      <c r="N34" s="8"/>
      <c r="O34" s="94"/>
      <c r="Q34" s="481"/>
      <c r="R34" s="483" t="str">
        <f t="shared" si="1"/>
        <v/>
      </c>
      <c r="S34" s="481"/>
      <c r="T34" s="481"/>
    </row>
    <row r="35" spans="2:20" ht="13" x14ac:dyDescent="0.3">
      <c r="B35" s="92"/>
      <c r="C35" s="342"/>
      <c r="D35" s="340"/>
      <c r="E35" s="341"/>
      <c r="F35" s="341"/>
      <c r="G35" s="89">
        <f t="shared" si="0"/>
        <v>0</v>
      </c>
      <c r="H35" s="12" t="str">
        <f t="shared" si="2"/>
        <v/>
      </c>
      <c r="I35" s="8"/>
      <c r="K35" s="8"/>
      <c r="L35" s="8"/>
      <c r="M35" s="8"/>
      <c r="N35" s="8"/>
      <c r="O35" s="94"/>
      <c r="Q35" s="481"/>
      <c r="R35" s="483" t="str">
        <f t="shared" si="1"/>
        <v/>
      </c>
      <c r="S35" s="481"/>
      <c r="T35" s="481"/>
    </row>
    <row r="36" spans="2:20" ht="13" x14ac:dyDescent="0.3">
      <c r="B36" s="92"/>
      <c r="C36" s="347"/>
      <c r="D36" s="348"/>
      <c r="E36" s="349"/>
      <c r="F36" s="349"/>
      <c r="G36" s="350">
        <f t="shared" si="0"/>
        <v>0</v>
      </c>
      <c r="H36" s="351" t="str">
        <f t="shared" si="2"/>
        <v/>
      </c>
      <c r="I36" s="8">
        <v>10</v>
      </c>
      <c r="K36" s="8"/>
      <c r="L36" s="8"/>
      <c r="M36" s="8"/>
      <c r="N36" s="8"/>
      <c r="O36" s="94"/>
      <c r="Q36" s="481"/>
      <c r="R36" s="483" t="str">
        <f t="shared" si="1"/>
        <v/>
      </c>
      <c r="S36" s="481"/>
      <c r="T36" s="481"/>
    </row>
    <row r="37" spans="2:20" ht="13" x14ac:dyDescent="0.3">
      <c r="B37" s="92"/>
      <c r="C37" s="347"/>
      <c r="D37" s="348"/>
      <c r="E37" s="349"/>
      <c r="F37" s="349"/>
      <c r="G37" s="350">
        <f t="shared" si="0"/>
        <v>0</v>
      </c>
      <c r="H37" s="351" t="str">
        <f t="shared" si="2"/>
        <v/>
      </c>
      <c r="I37" s="8"/>
      <c r="K37" s="8"/>
      <c r="L37" s="8"/>
      <c r="M37" s="8"/>
      <c r="N37" s="8"/>
      <c r="O37" s="94"/>
      <c r="Q37" s="481"/>
      <c r="R37" s="483" t="str">
        <f t="shared" si="1"/>
        <v/>
      </c>
      <c r="S37" s="481"/>
      <c r="T37" s="481"/>
    </row>
    <row r="38" spans="2:20" ht="13" x14ac:dyDescent="0.3">
      <c r="B38" s="92"/>
      <c r="C38" s="342"/>
      <c r="D38" s="340"/>
      <c r="E38" s="341"/>
      <c r="F38" s="341"/>
      <c r="G38" s="89">
        <f t="shared" si="0"/>
        <v>0</v>
      </c>
      <c r="H38" s="12" t="str">
        <f t="shared" si="2"/>
        <v/>
      </c>
      <c r="I38" s="8">
        <v>11</v>
      </c>
      <c r="K38" s="424"/>
      <c r="L38" s="8"/>
      <c r="M38" s="8"/>
      <c r="N38" s="8"/>
      <c r="O38" s="94"/>
      <c r="Q38" s="481"/>
      <c r="R38" s="483" t="str">
        <f t="shared" si="1"/>
        <v/>
      </c>
      <c r="S38" s="481"/>
      <c r="T38" s="481"/>
    </row>
    <row r="39" spans="2:20" ht="13" x14ac:dyDescent="0.3">
      <c r="B39" s="92"/>
      <c r="C39" s="342"/>
      <c r="D39" s="340"/>
      <c r="E39" s="341"/>
      <c r="F39" s="341"/>
      <c r="G39" s="89">
        <f t="shared" si="0"/>
        <v>0</v>
      </c>
      <c r="H39" s="12" t="str">
        <f t="shared" si="2"/>
        <v/>
      </c>
      <c r="I39" s="8"/>
      <c r="K39" s="486"/>
      <c r="L39" s="8"/>
      <c r="M39" s="8"/>
      <c r="N39" s="8"/>
      <c r="O39" s="94"/>
      <c r="Q39" s="481"/>
      <c r="R39" s="483" t="str">
        <f t="shared" si="1"/>
        <v/>
      </c>
      <c r="S39" s="481"/>
      <c r="T39" s="481"/>
    </row>
    <row r="40" spans="2:20" ht="13" x14ac:dyDescent="0.3">
      <c r="B40" s="92"/>
      <c r="C40" s="347"/>
      <c r="D40" s="348"/>
      <c r="E40" s="349"/>
      <c r="F40" s="349"/>
      <c r="G40" s="350">
        <f t="shared" si="0"/>
        <v>0</v>
      </c>
      <c r="H40" s="351" t="str">
        <f t="shared" si="2"/>
        <v/>
      </c>
      <c r="I40" s="8">
        <v>12</v>
      </c>
      <c r="K40" s="486"/>
      <c r="L40" s="8"/>
      <c r="M40" s="8"/>
      <c r="N40" s="8"/>
      <c r="O40" s="94"/>
      <c r="Q40" s="481"/>
      <c r="R40" s="483" t="str">
        <f t="shared" si="1"/>
        <v/>
      </c>
      <c r="S40" s="481"/>
      <c r="T40" s="481"/>
    </row>
    <row r="41" spans="2:20" ht="13" x14ac:dyDescent="0.3">
      <c r="B41" s="92"/>
      <c r="C41" s="347"/>
      <c r="D41" s="348"/>
      <c r="E41" s="349"/>
      <c r="F41" s="349"/>
      <c r="G41" s="350">
        <f t="shared" si="0"/>
        <v>0</v>
      </c>
      <c r="H41" s="351" t="str">
        <f t="shared" si="2"/>
        <v/>
      </c>
      <c r="I41" s="8"/>
      <c r="K41" s="424"/>
      <c r="L41" s="8"/>
      <c r="M41" s="8"/>
      <c r="N41" s="8"/>
      <c r="O41" s="94"/>
      <c r="Q41" s="481"/>
      <c r="R41" s="483" t="str">
        <f t="shared" si="1"/>
        <v/>
      </c>
      <c r="S41" s="481"/>
      <c r="T41" s="481"/>
    </row>
    <row r="42" spans="2:20" ht="13" x14ac:dyDescent="0.3">
      <c r="B42" s="92"/>
      <c r="C42" s="342"/>
      <c r="D42" s="340"/>
      <c r="E42" s="341"/>
      <c r="F42" s="341"/>
      <c r="G42" s="89">
        <f t="shared" si="0"/>
        <v>0</v>
      </c>
      <c r="H42" s="12" t="str">
        <f t="shared" si="2"/>
        <v/>
      </c>
      <c r="I42" s="8">
        <v>13</v>
      </c>
      <c r="K42" s="8"/>
      <c r="L42" s="8"/>
      <c r="M42" s="8"/>
      <c r="N42" s="8"/>
      <c r="O42" s="94"/>
      <c r="Q42" s="481"/>
      <c r="R42" s="483" t="str">
        <f t="shared" si="1"/>
        <v/>
      </c>
      <c r="S42" s="481"/>
      <c r="T42" s="481"/>
    </row>
    <row r="43" spans="2:20" ht="13" x14ac:dyDescent="0.3">
      <c r="B43" s="92"/>
      <c r="C43" s="342"/>
      <c r="D43" s="340"/>
      <c r="E43" s="341"/>
      <c r="F43" s="341"/>
      <c r="G43" s="89">
        <f t="shared" si="0"/>
        <v>0</v>
      </c>
      <c r="H43" s="12" t="str">
        <f t="shared" si="2"/>
        <v/>
      </c>
      <c r="I43" s="8"/>
      <c r="K43" s="8"/>
      <c r="L43" s="8"/>
      <c r="M43" s="8"/>
      <c r="N43" s="8"/>
      <c r="O43" s="94"/>
      <c r="Q43" s="481"/>
      <c r="R43" s="483" t="str">
        <f t="shared" si="1"/>
        <v/>
      </c>
      <c r="S43" s="481"/>
      <c r="T43" s="481"/>
    </row>
    <row r="44" spans="2:20" ht="13" x14ac:dyDescent="0.3">
      <c r="B44" s="92"/>
      <c r="C44" s="347"/>
      <c r="D44" s="348"/>
      <c r="E44" s="349"/>
      <c r="F44" s="349"/>
      <c r="G44" s="350">
        <f t="shared" si="0"/>
        <v>0</v>
      </c>
      <c r="H44" s="351" t="str">
        <f t="shared" si="2"/>
        <v/>
      </c>
      <c r="I44" s="8">
        <v>14</v>
      </c>
      <c r="K44" s="8"/>
      <c r="L44" s="8"/>
      <c r="M44" s="8"/>
      <c r="N44" s="8"/>
      <c r="O44" s="94"/>
      <c r="Q44" s="481"/>
      <c r="R44" s="483" t="str">
        <f t="shared" si="1"/>
        <v/>
      </c>
      <c r="S44" s="481"/>
      <c r="T44" s="481"/>
    </row>
    <row r="45" spans="2:20" ht="13" x14ac:dyDescent="0.3">
      <c r="B45" s="92"/>
      <c r="C45" s="347"/>
      <c r="D45" s="348"/>
      <c r="E45" s="349"/>
      <c r="F45" s="349"/>
      <c r="G45" s="350">
        <f t="shared" si="0"/>
        <v>0</v>
      </c>
      <c r="H45" s="351" t="str">
        <f t="shared" si="2"/>
        <v/>
      </c>
      <c r="I45" s="8"/>
      <c r="L45" s="8"/>
      <c r="M45" s="8"/>
      <c r="N45" s="8"/>
      <c r="O45" s="94"/>
      <c r="Q45" s="481"/>
      <c r="R45" s="483" t="str">
        <f t="shared" si="1"/>
        <v/>
      </c>
      <c r="S45" s="481"/>
      <c r="T45" s="481"/>
    </row>
    <row r="46" spans="2:20" ht="13" x14ac:dyDescent="0.3">
      <c r="B46" s="92"/>
      <c r="C46" s="342"/>
      <c r="D46" s="340"/>
      <c r="E46" s="341"/>
      <c r="F46" s="341"/>
      <c r="G46" s="89">
        <f t="shared" si="0"/>
        <v>0</v>
      </c>
      <c r="H46" s="12" t="str">
        <f t="shared" si="2"/>
        <v/>
      </c>
      <c r="I46" s="8">
        <v>15</v>
      </c>
      <c r="L46" s="8"/>
      <c r="M46" s="8"/>
      <c r="N46" s="8"/>
      <c r="O46" s="94"/>
      <c r="Q46" s="481"/>
      <c r="R46" s="483" t="str">
        <f t="shared" si="1"/>
        <v/>
      </c>
      <c r="S46" s="481"/>
      <c r="T46" s="481"/>
    </row>
    <row r="47" spans="2:20" ht="13" x14ac:dyDescent="0.3">
      <c r="B47" s="92"/>
      <c r="C47" s="342"/>
      <c r="D47" s="340"/>
      <c r="E47" s="341"/>
      <c r="F47" s="341"/>
      <c r="G47" s="89">
        <f t="shared" si="0"/>
        <v>0</v>
      </c>
      <c r="H47" s="12" t="str">
        <f t="shared" si="2"/>
        <v/>
      </c>
      <c r="I47" s="8"/>
      <c r="L47" s="8"/>
      <c r="M47" s="8"/>
      <c r="N47" s="8"/>
      <c r="O47" s="94"/>
      <c r="Q47" s="481"/>
      <c r="R47" s="483" t="str">
        <f t="shared" si="1"/>
        <v/>
      </c>
      <c r="S47" s="481"/>
      <c r="T47" s="481"/>
    </row>
    <row r="48" spans="2:20" ht="13" x14ac:dyDescent="0.3">
      <c r="B48" s="92"/>
      <c r="C48" s="8"/>
      <c r="D48" s="8"/>
      <c r="E48" s="430" t="str">
        <f>IF(COUNT(E16:E47)=COUNT(F16:F47),"", "Please enter complete fill periods (i.e., equal number of min and max levels)!")</f>
        <v/>
      </c>
      <c r="F48" s="428"/>
      <c r="G48" s="8"/>
      <c r="H48" s="8"/>
      <c r="I48" s="8"/>
      <c r="J48" s="8"/>
      <c r="L48" s="8"/>
      <c r="M48" s="8"/>
      <c r="N48" s="8"/>
      <c r="O48" s="94"/>
      <c r="Q48" s="481"/>
      <c r="R48" s="481"/>
      <c r="S48" s="481"/>
      <c r="T48" s="481"/>
    </row>
    <row r="49" spans="2:20" ht="27" customHeight="1" thickBot="1" x14ac:dyDescent="0.35">
      <c r="B49" s="92"/>
      <c r="C49" s="8"/>
      <c r="D49" s="8"/>
      <c r="E49" s="429"/>
      <c r="F49" s="429"/>
      <c r="G49" s="8"/>
      <c r="H49" s="8"/>
      <c r="I49" s="8"/>
      <c r="J49" s="8"/>
      <c r="L49" s="8"/>
      <c r="M49" s="8"/>
      <c r="N49" s="8"/>
      <c r="O49" s="94"/>
      <c r="Q49" s="481"/>
      <c r="R49" s="481"/>
      <c r="S49" s="481"/>
      <c r="T49" s="481"/>
    </row>
    <row r="50" spans="2:20" x14ac:dyDescent="0.25">
      <c r="B50" s="92"/>
      <c r="C50" s="17" t="s">
        <v>0</v>
      </c>
      <c r="D50" s="18" t="str">
        <f>IF(D8="y","Vol at Start of Fill","Low/Min Level")</f>
        <v>Low/Min Level</v>
      </c>
      <c r="E50" s="18" t="str">
        <f>IF(D8="y","Vol at End of Fill","High/Max Level")</f>
        <v>High/Max Level</v>
      </c>
      <c r="F50" s="18" t="s">
        <v>13</v>
      </c>
      <c r="G50" s="67" t="s">
        <v>16</v>
      </c>
      <c r="H50" s="18" t="s">
        <v>41</v>
      </c>
      <c r="I50" s="70" t="s">
        <v>6</v>
      </c>
      <c r="J50" s="433" t="s">
        <v>11</v>
      </c>
      <c r="K50" s="434"/>
      <c r="L50" s="435"/>
      <c r="M50" s="51"/>
      <c r="N50" s="52"/>
      <c r="O50" s="94"/>
      <c r="P50" s="487"/>
      <c r="Q50" s="481"/>
      <c r="R50" s="481"/>
      <c r="S50" s="481"/>
      <c r="T50" s="481"/>
    </row>
    <row r="51" spans="2:20" ht="12.75" customHeight="1" x14ac:dyDescent="0.25">
      <c r="B51" s="92"/>
      <c r="C51" s="19"/>
      <c r="D51" s="20"/>
      <c r="E51" s="20"/>
      <c r="F51" s="20" t="s">
        <v>14</v>
      </c>
      <c r="G51" s="68" t="s">
        <v>15</v>
      </c>
      <c r="H51" s="20" t="s">
        <v>42</v>
      </c>
      <c r="I51" s="71" t="s">
        <v>15</v>
      </c>
      <c r="J51" s="20" t="s">
        <v>9</v>
      </c>
      <c r="K51" s="493" t="s">
        <v>232</v>
      </c>
      <c r="L51" s="46" t="s">
        <v>12</v>
      </c>
      <c r="M51" s="20" t="s">
        <v>24</v>
      </c>
      <c r="N51" s="23" t="s">
        <v>25</v>
      </c>
      <c r="O51" s="94"/>
      <c r="P51" s="8"/>
      <c r="Q51" s="481"/>
      <c r="R51" s="481"/>
      <c r="S51" s="481"/>
      <c r="T51" s="481"/>
    </row>
    <row r="52" spans="2:20" ht="26.25" customHeight="1" thickBot="1" x14ac:dyDescent="0.3">
      <c r="B52" s="92"/>
      <c r="C52" s="21"/>
      <c r="D52" s="22" t="str">
        <f>IF(D8="y","(gal)","(ft)")</f>
        <v>(ft)</v>
      </c>
      <c r="E52" s="22" t="str">
        <f>IF(D8="y","(gal)","(ft)")</f>
        <v>(ft)</v>
      </c>
      <c r="F52" s="22" t="s">
        <v>17</v>
      </c>
      <c r="G52" s="69" t="s">
        <v>17</v>
      </c>
      <c r="H52" s="22" t="s">
        <v>17</v>
      </c>
      <c r="I52" s="72" t="s">
        <v>17</v>
      </c>
      <c r="J52" s="305" t="s">
        <v>32</v>
      </c>
      <c r="K52" s="491" t="s">
        <v>233</v>
      </c>
      <c r="L52" s="305" t="s">
        <v>32</v>
      </c>
      <c r="M52" s="22" t="s">
        <v>58</v>
      </c>
      <c r="N52" s="87" t="s">
        <v>58</v>
      </c>
      <c r="O52" s="94"/>
      <c r="Q52" s="481"/>
      <c r="R52" s="481"/>
      <c r="S52" s="481"/>
      <c r="T52" s="481"/>
    </row>
    <row r="53" spans="2:20" ht="13" thickTop="1" x14ac:dyDescent="0.25">
      <c r="B53" s="92">
        <f t="shared" ref="B53:B67" si="3">IF(D53=0,0,1)</f>
        <v>0</v>
      </c>
      <c r="C53" s="73">
        <v>1</v>
      </c>
      <c r="D53" s="74">
        <f>IF(ISBLANK(E18),E19,E18)</f>
        <v>0</v>
      </c>
      <c r="E53" s="74">
        <f>IF(ISBLANK(F18),F19,F18)</f>
        <v>0</v>
      </c>
      <c r="F53" s="86" t="str">
        <f>IF(OR($D$7="c",$D$7="h"),($D53)*PI()*($D$10/2)^2*7.48/10^6,IF($D$7="r",$D53*$D$10*$D$11*7.48/10^6,IF($D$8="y",$D53/10^6,"error")))</f>
        <v>error</v>
      </c>
      <c r="G53" s="86" t="str">
        <f>IF(OR($D$7="c",$D$7="h"),($E53-$D53)*PI()*($D$10/2)^2*7.48/10^6,IF($D$7="r",($E53-$D53)*$D$10*$D$11*7.48/10^6,IF($D$8="y",($E53-$D53)/10^6,"error")))</f>
        <v>error</v>
      </c>
      <c r="H53" s="49"/>
      <c r="I53" s="75" t="str">
        <f>IF(D53+E53=0,"n/a",IF(OR($D$7="c",$D$7="h"),((D53+E53)/2)*PI()*($D$10/2)^2*7.48/10^6,IF($D$7="r",((D53+E53)/2)*$D$10*$D$11*7.48/10^6,IF($D$8="y",((D53+E53)/2)/10^6,""))))</f>
        <v>n/a</v>
      </c>
      <c r="J53" s="49" t="e">
        <f t="shared" ref="J53:J67" si="4">IF(G53=0,"n/a",G53/F53)</f>
        <v>#VALUE!</v>
      </c>
      <c r="K53" s="492" t="str">
        <f>IF(AND('Tank Summary'!$M$16="y",'Tank Summary'!$M$15 = "n"), IF(E53&lt;=$D$10, 10.2, 3.58*(E53/$D$10)+6.66), IF(AND('Tank Summary'!$M$16="y", 'Tank Summary'!$M$15="y"),IF(E53 &lt;= (PI()/4)*$D$10^3, 10.2, 3.58*(E53/$D$12)+6.66), "Tank mixing equations do not apply"))</f>
        <v>Tank mixing equations do not apply</v>
      </c>
      <c r="L53" s="76" t="e">
        <f>IF(F53=0,"n/a",((K53/1.13)*$D$13)/((F53*10^6/7.48)^(1/3)))</f>
        <v>#VALUE!</v>
      </c>
      <c r="M53" s="49" t="str">
        <f>IF(ISERROR(H19-H18),"n/a",IF(ISBLANK(E18), "n/a",H19-H18))</f>
        <v>n/a</v>
      </c>
      <c r="N53" s="50" t="str">
        <f>IF(ISERROR(H19-H18),"n/a",IF(ISBLANK(E18), H19-H18,"n/a"))</f>
        <v>n/a</v>
      </c>
      <c r="O53" s="94"/>
      <c r="Q53" s="481"/>
      <c r="R53" s="481"/>
      <c r="S53" s="481"/>
      <c r="T53" s="481"/>
    </row>
    <row r="54" spans="2:20" x14ac:dyDescent="0.25">
      <c r="B54" s="92">
        <f t="shared" si="3"/>
        <v>0</v>
      </c>
      <c r="C54" s="77">
        <v>2</v>
      </c>
      <c r="D54" s="74">
        <f>IF(ISBLANK(E20),E21,E20)</f>
        <v>0</v>
      </c>
      <c r="E54" s="74">
        <f>IF(ISBLANK(F20),F21,F20)</f>
        <v>0</v>
      </c>
      <c r="F54" s="32" t="str">
        <f>IF(OR($D$7="c",$D$7="h"),($D54)*PI()*($D$10/2)^2*7.48/10^6,IF($D$7="r",$D54*$D$10*$D$11*7.48/10^6,IF($D$8="y",$D54/10^6,"error")))</f>
        <v>error</v>
      </c>
      <c r="G54" s="32" t="str">
        <f>IF(OR($D$7="c",$D$7="h"),($E54-$D54)*PI()*($D$10/2)^2*7.48/10^6,IF($D$7="r",($E54-$D54)*$D$10*$D$11*7.48/10^6,IF($D$8="y",($E54-$D54)/10^6,"error")))</f>
        <v>error</v>
      </c>
      <c r="H54" s="49" t="str">
        <f>IF(D54,IF(OR($D$7="c",$D$7="h"),($E53-$D54)*PI()*($D$10/2)^2*7.48/10^6,IF($D$7="r",($E53-$D54)*$D$10*$D$11*7.48/10^6,IF($D$8="y",($E53-$D54)/10^6,""))),"")</f>
        <v/>
      </c>
      <c r="I54" s="75" t="str">
        <f>IF(D54+E54=0,"n/a",IF(OR($D$7="c",$D$7="h"),((D54+E54)/2)*PI()*($D$10/2)^2*7.48/10^6,IF($D$7="r",((D54+E54)/2)*$D$10*$D$11*7.48/10^6,IF($D$8="y",((D54+E54)/2)/10^6,""))))</f>
        <v>n/a</v>
      </c>
      <c r="J54" s="11" t="e">
        <f t="shared" si="4"/>
        <v>#VALUE!</v>
      </c>
      <c r="K54" s="492" t="str">
        <f>IF(AND('Tank Summary'!$M$16="y",'Tank Summary'!$M$15 = "n"), IF(E54&lt;=$D$10, 10.2, 3.58*(E54/$D$10)+6.66), IF(AND('Tank Summary'!$M$16="y", 'Tank Summary'!$M$15="y"),IF(E54 &lt;= (PI()/4)*$D$10^3, 10.2, 3.58*(E54/$D$12)+6.66), "Tank mixing equations do not apply"))</f>
        <v>Tank mixing equations do not apply</v>
      </c>
      <c r="L54" s="76" t="e">
        <f t="shared" ref="L54:L67" si="5">IF(F54=0,"n/a",((K54/1.13)*$D$13)/((F54*10^6/7.48)^(1/3)))</f>
        <v>#VALUE!</v>
      </c>
      <c r="M54" s="11" t="str">
        <f>IF(ISERROR(H21-H20),"n/a",IF(ISBLANK(E20), H20-H19,H21-H20))</f>
        <v>n/a</v>
      </c>
      <c r="N54" s="47" t="str">
        <f>IF(ISERROR(H21-H20),"n/a",IF(ISBLANK(E20), H21-H20,H20-H19))</f>
        <v>n/a</v>
      </c>
      <c r="O54" s="94"/>
      <c r="Q54" s="481"/>
      <c r="R54" s="481"/>
      <c r="S54" s="481"/>
      <c r="T54" s="481"/>
    </row>
    <row r="55" spans="2:20" x14ac:dyDescent="0.25">
      <c r="B55" s="92">
        <f t="shared" si="3"/>
        <v>0</v>
      </c>
      <c r="C55" s="77">
        <v>3</v>
      </c>
      <c r="D55" s="74">
        <f>IF(ISBLANK(E22),E23,E22)</f>
        <v>0</v>
      </c>
      <c r="E55" s="74">
        <f>IF(ISBLANK(F22),F23,F22)</f>
        <v>0</v>
      </c>
      <c r="F55" s="32" t="str">
        <f t="shared" ref="F55:F67" si="6">IF(OR($D$7="c",$D$7="h"),($D55)*PI()*($D$10/2)^2*7.48/10^6,IF($D$7="r",$D55*$D$10*$D$11*7.48/10^6,IF($D$8="y",$D55/10^6,"error")))</f>
        <v>error</v>
      </c>
      <c r="G55" s="32" t="str">
        <f t="shared" ref="G55:G67" si="7">IF(OR($D$7="c",$D$7="h"),($E55-$D55)*PI()*($D$10/2)^2*7.48/10^6,IF($D$7="r",($E55-$D55)*$D$10*$D$11*7.48/10^6,IF($D$8="y",($E55-$D55)/10^6,"error")))</f>
        <v>error</v>
      </c>
      <c r="H55" s="49" t="str">
        <f t="shared" ref="H55:H67" si="8">IF(D55,IF(OR($D$7="c",$D$7="h"),($E54-$D55)*PI()*($D$10/2)^2*7.48/10^6,IF($D$7="r",($E54-$D55)*$D$10*$D$11*7.48/10^6,IF($D$8="y",($E54-$D55)/10^6,""))),"")</f>
        <v/>
      </c>
      <c r="I55" s="75" t="str">
        <f t="shared" ref="I55:I67" si="9">IF(D55+E55=0,"n/a",IF(OR($D$7="c",$D$7="h"),((D55+E55)/2)*PI()*($D$10/2)^2*7.48/10^6,IF($D$7="r",((D55+E55)/2)*$D$10*$D$11*7.48/10^6,IF($D$8="y",((D55+E55)/2)/10^6,""))))</f>
        <v>n/a</v>
      </c>
      <c r="J55" s="11" t="e">
        <f t="shared" si="4"/>
        <v>#VALUE!</v>
      </c>
      <c r="K55" s="492" t="str">
        <f>IF(AND('Tank Summary'!$M$16="y",'Tank Summary'!$M$15 = "n"), IF(E55&lt;=$D$10, 10.2, 3.58*(E55/$D$10)+6.66), IF(AND('Tank Summary'!$M$16="y", 'Tank Summary'!$M$15="y"),IF(E55 &lt;= (PI()/4)*$D$10^3, 10.2, 3.58*(E55/$D$12)+6.66), "Tank mixing equations do not apply"))</f>
        <v>Tank mixing equations do not apply</v>
      </c>
      <c r="L55" s="76" t="e">
        <f t="shared" si="5"/>
        <v>#VALUE!</v>
      </c>
      <c r="M55" s="11" t="str">
        <f>IF(ISERROR(H23-H22),"n/a",IF(ISBLANK(E22), H22-H21,H23-H22))</f>
        <v>n/a</v>
      </c>
      <c r="N55" s="47" t="str">
        <f>IF(ISERROR(H23-H22),"n/a",IF(ISBLANK(E22), H23-H22,H22-H21))</f>
        <v>n/a</v>
      </c>
      <c r="O55" s="94"/>
      <c r="Q55" s="481"/>
      <c r="R55" s="481"/>
      <c r="S55" s="481"/>
      <c r="T55" s="481"/>
    </row>
    <row r="56" spans="2:20" x14ac:dyDescent="0.25">
      <c r="B56" s="92">
        <f t="shared" si="3"/>
        <v>0</v>
      </c>
      <c r="C56" s="77">
        <v>4</v>
      </c>
      <c r="D56" s="74">
        <f>IF(ISBLANK(E24),E25,E24)</f>
        <v>0</v>
      </c>
      <c r="E56" s="74">
        <f>IF(ISBLANK(F24),F25,F24)</f>
        <v>0</v>
      </c>
      <c r="F56" s="32" t="str">
        <f t="shared" si="6"/>
        <v>error</v>
      </c>
      <c r="G56" s="32" t="str">
        <f t="shared" si="7"/>
        <v>error</v>
      </c>
      <c r="H56" s="49" t="str">
        <f t="shared" si="8"/>
        <v/>
      </c>
      <c r="I56" s="75" t="str">
        <f t="shared" si="9"/>
        <v>n/a</v>
      </c>
      <c r="J56" s="11" t="e">
        <f t="shared" si="4"/>
        <v>#VALUE!</v>
      </c>
      <c r="K56" s="492" t="str">
        <f>IF(AND('Tank Summary'!$M$16="y",'Tank Summary'!$M$15 = "n"), IF(E56&lt;=$D$10, 10.2, 3.58*(E56/$D$10)+6.66), IF(AND('Tank Summary'!$M$16="y", 'Tank Summary'!$M$15="y"),IF(E56 &lt;= (PI()/4)*$D$10^3, 10.2, 3.58*(E56/$D$12)+6.66), "Tank mixing equations do not apply"))</f>
        <v>Tank mixing equations do not apply</v>
      </c>
      <c r="L56" s="76" t="e">
        <f t="shared" si="5"/>
        <v>#VALUE!</v>
      </c>
      <c r="M56" s="11" t="str">
        <f>IF(ISERROR(H25-H24),"n/a",IF(ISBLANK(E24), H24-H23,H25-H24))</f>
        <v>n/a</v>
      </c>
      <c r="N56" s="47" t="str">
        <f>IF(ISERROR(H25-H24),"n/a",IF(ISBLANK(E24), H25-H24,H24-H23))</f>
        <v>n/a</v>
      </c>
      <c r="O56" s="94"/>
      <c r="Q56" s="481"/>
      <c r="R56" s="481"/>
      <c r="S56" s="481"/>
      <c r="T56" s="481"/>
    </row>
    <row r="57" spans="2:20" x14ac:dyDescent="0.25">
      <c r="B57" s="92">
        <f t="shared" si="3"/>
        <v>0</v>
      </c>
      <c r="C57" s="77">
        <v>5</v>
      </c>
      <c r="D57" s="74">
        <f>IF(ISBLANK(E26),E27,E26)</f>
        <v>0</v>
      </c>
      <c r="E57" s="74">
        <f>IF(ISBLANK(F26),F27,F26)</f>
        <v>0</v>
      </c>
      <c r="F57" s="32" t="str">
        <f t="shared" si="6"/>
        <v>error</v>
      </c>
      <c r="G57" s="32" t="str">
        <f t="shared" si="7"/>
        <v>error</v>
      </c>
      <c r="H57" s="49" t="str">
        <f t="shared" si="8"/>
        <v/>
      </c>
      <c r="I57" s="75" t="str">
        <f t="shared" si="9"/>
        <v>n/a</v>
      </c>
      <c r="J57" s="11" t="e">
        <f t="shared" si="4"/>
        <v>#VALUE!</v>
      </c>
      <c r="K57" s="492" t="str">
        <f>IF(AND('Tank Summary'!$M$16="y",'Tank Summary'!$M$15 = "n"), IF(E57&lt;=$D$10, 10.2, 3.58*(E57/$D$10)+6.66), IF(AND('Tank Summary'!$M$16="y", 'Tank Summary'!$M$15="y"),IF(E57 &lt;= (PI()/4)*$D$10^3, 10.2, 3.58*(E57/$D$12)+6.66), "Tank mixing equations do not apply"))</f>
        <v>Tank mixing equations do not apply</v>
      </c>
      <c r="L57" s="76" t="e">
        <f t="shared" si="5"/>
        <v>#VALUE!</v>
      </c>
      <c r="M57" s="11" t="str">
        <f>IF(ISERROR(H27-H26),"n/a",IF(ISBLANK(E26), H26-H25,H27-H26))</f>
        <v>n/a</v>
      </c>
      <c r="N57" s="47" t="str">
        <f>IF(ISERROR(H27-H26),"n/a",IF(ISBLANK(E26), H27-H26,H26-H25))</f>
        <v>n/a</v>
      </c>
      <c r="O57" s="94"/>
      <c r="Q57" s="481"/>
      <c r="R57" s="481"/>
      <c r="S57" s="481"/>
      <c r="T57" s="481"/>
    </row>
    <row r="58" spans="2:20" x14ac:dyDescent="0.25">
      <c r="B58" s="92">
        <f t="shared" si="3"/>
        <v>0</v>
      </c>
      <c r="C58" s="77">
        <v>6</v>
      </c>
      <c r="D58" s="74">
        <f>IF(ISBLANK(E28),E29,E28)</f>
        <v>0</v>
      </c>
      <c r="E58" s="74">
        <f>IF(ISBLANK(F28),F29,F28)</f>
        <v>0</v>
      </c>
      <c r="F58" s="32" t="str">
        <f t="shared" si="6"/>
        <v>error</v>
      </c>
      <c r="G58" s="32" t="str">
        <f t="shared" si="7"/>
        <v>error</v>
      </c>
      <c r="H58" s="49" t="str">
        <f t="shared" si="8"/>
        <v/>
      </c>
      <c r="I58" s="75" t="str">
        <f t="shared" si="9"/>
        <v>n/a</v>
      </c>
      <c r="J58" s="11" t="e">
        <f t="shared" si="4"/>
        <v>#VALUE!</v>
      </c>
      <c r="K58" s="492" t="str">
        <f>IF(AND('Tank Summary'!$M$16="y",'Tank Summary'!$M$15 = "n"), IF(E58&lt;=$D$10, 10.2, 3.58*(E58/$D$10)+6.66), IF(AND('Tank Summary'!$M$16="y", 'Tank Summary'!$M$15="y"),IF(E58 &lt;= (PI()/4)*$D$10^3, 10.2, 3.58*(E58/$D$12)+6.66), "Tank mixing equations do not apply"))</f>
        <v>Tank mixing equations do not apply</v>
      </c>
      <c r="L58" s="76" t="e">
        <f t="shared" si="5"/>
        <v>#VALUE!</v>
      </c>
      <c r="M58" s="11" t="str">
        <f>IF(ISERROR(H29-H28),"n/a",IF(ISBLANK(E28), H28-H27,H29-H28))</f>
        <v>n/a</v>
      </c>
      <c r="N58" s="47" t="str">
        <f>IF(ISERROR(H29-H28),"n/a",IF(ISBLANK(E28), H29-H28,H28-H27))</f>
        <v>n/a</v>
      </c>
      <c r="O58" s="94"/>
      <c r="Q58" s="481"/>
      <c r="R58" s="481"/>
      <c r="S58" s="481"/>
      <c r="T58" s="481"/>
    </row>
    <row r="59" spans="2:20" x14ac:dyDescent="0.25">
      <c r="B59" s="92">
        <f t="shared" si="3"/>
        <v>0</v>
      </c>
      <c r="C59" s="77">
        <v>7</v>
      </c>
      <c r="D59" s="74">
        <f>IF(ISBLANK(E30),E31,E30)</f>
        <v>0</v>
      </c>
      <c r="E59" s="74">
        <f>IF(ISBLANK(F30),F31,F30)</f>
        <v>0</v>
      </c>
      <c r="F59" s="32" t="str">
        <f t="shared" si="6"/>
        <v>error</v>
      </c>
      <c r="G59" s="32" t="str">
        <f t="shared" si="7"/>
        <v>error</v>
      </c>
      <c r="H59" s="49" t="str">
        <f t="shared" si="8"/>
        <v/>
      </c>
      <c r="I59" s="75" t="str">
        <f t="shared" si="9"/>
        <v>n/a</v>
      </c>
      <c r="J59" s="11" t="e">
        <f t="shared" si="4"/>
        <v>#VALUE!</v>
      </c>
      <c r="K59" s="492" t="str">
        <f>IF(AND('Tank Summary'!$M$16="y",'Tank Summary'!$M$15 = "n"), IF(E59&lt;=$D$10, 10.2, 3.58*(E59/$D$10)+6.66), IF(AND('Tank Summary'!$M$16="y", 'Tank Summary'!$M$15="y"),IF(E59 &lt;= (PI()/4)*$D$10^3, 10.2, 3.58*(E59/$D$12)+6.66), "Tank mixing equations do not apply"))</f>
        <v>Tank mixing equations do not apply</v>
      </c>
      <c r="L59" s="76" t="e">
        <f t="shared" si="5"/>
        <v>#VALUE!</v>
      </c>
      <c r="M59" s="11" t="str">
        <f>IF(ISERROR(H31-H30),"n/a",IF(ISBLANK(E30), H30-H29,H31-H30))</f>
        <v>n/a</v>
      </c>
      <c r="N59" s="47" t="str">
        <f>IF(ISERROR(H31-H30),"n/a",IF(ISBLANK(E30), H31-H30,H30-H29))</f>
        <v>n/a</v>
      </c>
      <c r="O59" s="94"/>
      <c r="Q59" s="481"/>
      <c r="R59" s="481"/>
      <c r="S59" s="481"/>
      <c r="T59" s="481"/>
    </row>
    <row r="60" spans="2:20" x14ac:dyDescent="0.25">
      <c r="B60" s="92">
        <f t="shared" si="3"/>
        <v>0</v>
      </c>
      <c r="C60" s="77">
        <v>8</v>
      </c>
      <c r="D60" s="74">
        <f>IF(ISBLANK(E32),E33,E32)</f>
        <v>0</v>
      </c>
      <c r="E60" s="74">
        <f>IF(ISBLANK(F32),F33,F32)</f>
        <v>0</v>
      </c>
      <c r="F60" s="32" t="str">
        <f t="shared" si="6"/>
        <v>error</v>
      </c>
      <c r="G60" s="32" t="str">
        <f t="shared" si="7"/>
        <v>error</v>
      </c>
      <c r="H60" s="49" t="str">
        <f t="shared" si="8"/>
        <v/>
      </c>
      <c r="I60" s="75" t="str">
        <f t="shared" si="9"/>
        <v>n/a</v>
      </c>
      <c r="J60" s="11" t="e">
        <f t="shared" si="4"/>
        <v>#VALUE!</v>
      </c>
      <c r="K60" s="492" t="str">
        <f>IF(AND('Tank Summary'!$M$16="y",'Tank Summary'!$M$15 = "n"), IF(E60&lt;=$D$10, 10.2, 3.58*(E60/$D$10)+6.66), IF(AND('Tank Summary'!$M$16="y", 'Tank Summary'!$M$15="y"),IF(E60 &lt;= (PI()/4)*$D$10^3, 10.2, 3.58*(E60/$D$12)+6.66), "Tank mixing equations do not apply"))</f>
        <v>Tank mixing equations do not apply</v>
      </c>
      <c r="L60" s="76" t="e">
        <f t="shared" si="5"/>
        <v>#VALUE!</v>
      </c>
      <c r="M60" s="11" t="str">
        <f>IF(ISERROR(H33-H32),"n/a",IF(ISBLANK(E32), H32-H31,H33-H32))</f>
        <v>n/a</v>
      </c>
      <c r="N60" s="47" t="str">
        <f>IF(ISERROR(H33-H32),"n/a",IF(ISBLANK(E32), H33-H32,H32-H31))</f>
        <v>n/a</v>
      </c>
      <c r="O60" s="94"/>
      <c r="Q60" s="481"/>
      <c r="R60" s="481"/>
      <c r="S60" s="481"/>
      <c r="T60" s="481"/>
    </row>
    <row r="61" spans="2:20" x14ac:dyDescent="0.25">
      <c r="B61" s="92">
        <f t="shared" si="3"/>
        <v>0</v>
      </c>
      <c r="C61" s="77">
        <v>9</v>
      </c>
      <c r="D61" s="74">
        <f>IF(ISBLANK(E34),E35,E34)</f>
        <v>0</v>
      </c>
      <c r="E61" s="74">
        <f>IF(ISBLANK(F34),F35,F34)</f>
        <v>0</v>
      </c>
      <c r="F61" s="32" t="str">
        <f t="shared" si="6"/>
        <v>error</v>
      </c>
      <c r="G61" s="32" t="str">
        <f t="shared" si="7"/>
        <v>error</v>
      </c>
      <c r="H61" s="49" t="str">
        <f t="shared" si="8"/>
        <v/>
      </c>
      <c r="I61" s="75" t="str">
        <f t="shared" si="9"/>
        <v>n/a</v>
      </c>
      <c r="J61" s="11" t="e">
        <f t="shared" si="4"/>
        <v>#VALUE!</v>
      </c>
      <c r="K61" s="492" t="str">
        <f>IF(AND('Tank Summary'!$M$16="y",'Tank Summary'!$M$15 = "n"), IF(E61&lt;=$D$10, 10.2, 3.58*(E61/$D$10)+6.66), IF(AND('Tank Summary'!$M$16="y", 'Tank Summary'!$M$15="y"),IF(E61 &lt;= (PI()/4)*$D$10^3, 10.2, 3.58*(E61/$D$12)+6.66), "Tank mixing equations do not apply"))</f>
        <v>Tank mixing equations do not apply</v>
      </c>
      <c r="L61" s="76" t="e">
        <f t="shared" si="5"/>
        <v>#VALUE!</v>
      </c>
      <c r="M61" s="11" t="str">
        <f>IF(ISERROR(H35-H34),"n/a",IF(ISBLANK(E34), H34-H33,H35-H34))</f>
        <v>n/a</v>
      </c>
      <c r="N61" s="47" t="str">
        <f>IF(ISERROR(H35-H34),"n/a",IF(ISBLANK(E34), H35-H34,H34-H33))</f>
        <v>n/a</v>
      </c>
      <c r="O61" s="94"/>
      <c r="Q61" s="481"/>
      <c r="R61" s="481"/>
      <c r="S61" s="481"/>
      <c r="T61" s="481"/>
    </row>
    <row r="62" spans="2:20" x14ac:dyDescent="0.25">
      <c r="B62" s="92">
        <f t="shared" si="3"/>
        <v>0</v>
      </c>
      <c r="C62" s="77">
        <v>10</v>
      </c>
      <c r="D62" s="74">
        <f>IF(ISBLANK(E36),E37,E36)</f>
        <v>0</v>
      </c>
      <c r="E62" s="74">
        <f>IF(ISBLANK(F36),F37,F36)</f>
        <v>0</v>
      </c>
      <c r="F62" s="32" t="str">
        <f t="shared" si="6"/>
        <v>error</v>
      </c>
      <c r="G62" s="32" t="str">
        <f t="shared" si="7"/>
        <v>error</v>
      </c>
      <c r="H62" s="49" t="str">
        <f t="shared" si="8"/>
        <v/>
      </c>
      <c r="I62" s="75" t="str">
        <f t="shared" si="9"/>
        <v>n/a</v>
      </c>
      <c r="J62" s="11" t="e">
        <f t="shared" si="4"/>
        <v>#VALUE!</v>
      </c>
      <c r="K62" s="492" t="str">
        <f>IF(AND('Tank Summary'!$M$16="y",'Tank Summary'!$M$15 = "n"), IF(E62&lt;=$D$10, 10.2, 3.58*(E62/$D$10)+6.66), IF(AND('Tank Summary'!$M$16="y", 'Tank Summary'!$M$15="y"),IF(E62 &lt;= (PI()/4)*$D$10^3, 10.2, 3.58*(E62/$D$12)+6.66), "Tank mixing equations do not apply"))</f>
        <v>Tank mixing equations do not apply</v>
      </c>
      <c r="L62" s="76" t="e">
        <f t="shared" si="5"/>
        <v>#VALUE!</v>
      </c>
      <c r="M62" s="11" t="str">
        <f>IF(ISERROR(H37-H36),"n/a",IF(ISBLANK(E36), H36-H35,H37-H36))</f>
        <v>n/a</v>
      </c>
      <c r="N62" s="47" t="str">
        <f>IF(ISERROR(H37-H36),"n/a",IF(ISBLANK(E36), H37-H36,H36-H35))</f>
        <v>n/a</v>
      </c>
      <c r="O62" s="94"/>
      <c r="Q62" s="481"/>
      <c r="R62" s="481"/>
      <c r="S62" s="481"/>
      <c r="T62" s="481"/>
    </row>
    <row r="63" spans="2:20" x14ac:dyDescent="0.25">
      <c r="B63" s="92">
        <f t="shared" si="3"/>
        <v>0</v>
      </c>
      <c r="C63" s="77">
        <v>11</v>
      </c>
      <c r="D63" s="74">
        <f>IF(ISBLANK(E38),E39,E38)</f>
        <v>0</v>
      </c>
      <c r="E63" s="74">
        <f>IF(ISBLANK(F38),F39,F38)</f>
        <v>0</v>
      </c>
      <c r="F63" s="32" t="str">
        <f t="shared" si="6"/>
        <v>error</v>
      </c>
      <c r="G63" s="32" t="str">
        <f t="shared" si="7"/>
        <v>error</v>
      </c>
      <c r="H63" s="49" t="str">
        <f t="shared" si="8"/>
        <v/>
      </c>
      <c r="I63" s="75" t="str">
        <f t="shared" si="9"/>
        <v>n/a</v>
      </c>
      <c r="J63" s="11" t="e">
        <f t="shared" si="4"/>
        <v>#VALUE!</v>
      </c>
      <c r="K63" s="492" t="str">
        <f>IF(AND('Tank Summary'!$M$16="y",'Tank Summary'!$M$15 = "n"), IF(E63&lt;=$D$10, 10.2, 3.58*(E63/$D$10)+6.66), IF(AND('Tank Summary'!$M$16="y", 'Tank Summary'!$M$15="y"),IF(E63 &lt;= (PI()/4)*$D$10^3, 10.2, 3.58*(E63/$D$12)+6.66), "Tank mixing equations do not apply"))</f>
        <v>Tank mixing equations do not apply</v>
      </c>
      <c r="L63" s="76" t="e">
        <f t="shared" si="5"/>
        <v>#VALUE!</v>
      </c>
      <c r="M63" s="11" t="str">
        <f>IF(ISERROR(H39-H38),"n/a",IF(ISBLANK(E38), H38-H37,H39-H38))</f>
        <v>n/a</v>
      </c>
      <c r="N63" s="47" t="str">
        <f>IF(ISERROR(H39-H38),"n/a",IF(ISBLANK(E38), H39-H38,H38-H37))</f>
        <v>n/a</v>
      </c>
      <c r="O63" s="94"/>
      <c r="Q63" s="481"/>
      <c r="R63" s="481"/>
      <c r="S63" s="481"/>
      <c r="T63" s="481"/>
    </row>
    <row r="64" spans="2:20" x14ac:dyDescent="0.25">
      <c r="B64" s="92">
        <f t="shared" si="3"/>
        <v>0</v>
      </c>
      <c r="C64" s="77">
        <v>12</v>
      </c>
      <c r="D64" s="74">
        <f>IF(ISBLANK(E40),E41,E40)</f>
        <v>0</v>
      </c>
      <c r="E64" s="74">
        <f>IF(ISBLANK(F40),F41,F40)</f>
        <v>0</v>
      </c>
      <c r="F64" s="32" t="str">
        <f t="shared" si="6"/>
        <v>error</v>
      </c>
      <c r="G64" s="32" t="str">
        <f t="shared" si="7"/>
        <v>error</v>
      </c>
      <c r="H64" s="49" t="str">
        <f t="shared" si="8"/>
        <v/>
      </c>
      <c r="I64" s="75" t="str">
        <f t="shared" si="9"/>
        <v>n/a</v>
      </c>
      <c r="J64" s="11" t="e">
        <f t="shared" si="4"/>
        <v>#VALUE!</v>
      </c>
      <c r="K64" s="492" t="str">
        <f>IF(AND('Tank Summary'!$M$16="y",'Tank Summary'!$M$15 = "n"), IF(E64&lt;=$D$10, 10.2, 3.58*(E64/$D$10)+6.66), IF(AND('Tank Summary'!$M$16="y", 'Tank Summary'!$M$15="y"),IF(E64 &lt;= (PI()/4)*$D$10^3, 10.2, 3.58*(E64/$D$12)+6.66), "Tank mixing equations do not apply"))</f>
        <v>Tank mixing equations do not apply</v>
      </c>
      <c r="L64" s="76" t="e">
        <f t="shared" si="5"/>
        <v>#VALUE!</v>
      </c>
      <c r="M64" s="11" t="str">
        <f>IF(ISERROR(H41-H40),"n/a",IF(ISBLANK(E40), H40-H39,H41-H40))</f>
        <v>n/a</v>
      </c>
      <c r="N64" s="47" t="str">
        <f>IF(ISERROR(H41-H40),"n/a",IF(ISBLANK(E40), H41-H40,H40-H39))</f>
        <v>n/a</v>
      </c>
      <c r="O64" s="94"/>
      <c r="Q64" s="481"/>
      <c r="R64" s="481"/>
      <c r="S64" s="481"/>
      <c r="T64" s="481"/>
    </row>
    <row r="65" spans="1:20" x14ac:dyDescent="0.25">
      <c r="B65" s="92">
        <f t="shared" si="3"/>
        <v>0</v>
      </c>
      <c r="C65" s="77">
        <v>13</v>
      </c>
      <c r="D65" s="74">
        <f>IF(ISBLANK(E42),E43,E42)</f>
        <v>0</v>
      </c>
      <c r="E65" s="74">
        <f>IF(ISBLANK(F42),F43,F42)</f>
        <v>0</v>
      </c>
      <c r="F65" s="32" t="str">
        <f t="shared" si="6"/>
        <v>error</v>
      </c>
      <c r="G65" s="32" t="str">
        <f t="shared" si="7"/>
        <v>error</v>
      </c>
      <c r="H65" s="49" t="str">
        <f t="shared" si="8"/>
        <v/>
      </c>
      <c r="I65" s="75" t="str">
        <f t="shared" si="9"/>
        <v>n/a</v>
      </c>
      <c r="J65" s="11" t="e">
        <f t="shared" si="4"/>
        <v>#VALUE!</v>
      </c>
      <c r="K65" s="492" t="str">
        <f>IF(AND('Tank Summary'!$M$16="y",'Tank Summary'!$M$15 = "n"), IF(E65&lt;=$D$10, 10.2, 3.58*(E65/$D$10)+6.66), IF(AND('Tank Summary'!$M$16="y", 'Tank Summary'!$M$15="y"),IF(E65 &lt;= (PI()/4)*$D$10^3, 10.2, 3.58*(E65/$D$12)+6.66), "Tank mixing equations do not apply"))</f>
        <v>Tank mixing equations do not apply</v>
      </c>
      <c r="L65" s="76" t="e">
        <f t="shared" si="5"/>
        <v>#VALUE!</v>
      </c>
      <c r="M65" s="11" t="str">
        <f>IF(ISERROR(H43-H42),"n/a",IF(ISBLANK(E42), H42-H41,H43-H42))</f>
        <v>n/a</v>
      </c>
      <c r="N65" s="47" t="str">
        <f>IF(ISERROR(H43-H42),"n/a",IF(ISBLANK(E42), H43-H42,H42-H41))</f>
        <v>n/a</v>
      </c>
      <c r="O65" s="94"/>
      <c r="Q65" s="481"/>
      <c r="R65" s="481"/>
      <c r="S65" s="481"/>
      <c r="T65" s="481"/>
    </row>
    <row r="66" spans="1:20" x14ac:dyDescent="0.25">
      <c r="B66" s="92">
        <f t="shared" si="3"/>
        <v>0</v>
      </c>
      <c r="C66" s="77">
        <v>14</v>
      </c>
      <c r="D66" s="74">
        <f>IF(ISBLANK(E44),E45,E44)</f>
        <v>0</v>
      </c>
      <c r="E66" s="74">
        <f>IF(ISBLANK(F44),F45,F44)</f>
        <v>0</v>
      </c>
      <c r="F66" s="32" t="str">
        <f t="shared" si="6"/>
        <v>error</v>
      </c>
      <c r="G66" s="32" t="str">
        <f t="shared" si="7"/>
        <v>error</v>
      </c>
      <c r="H66" s="49" t="str">
        <f t="shared" si="8"/>
        <v/>
      </c>
      <c r="I66" s="75" t="str">
        <f t="shared" si="9"/>
        <v>n/a</v>
      </c>
      <c r="J66" s="11" t="e">
        <f t="shared" si="4"/>
        <v>#VALUE!</v>
      </c>
      <c r="K66" s="492" t="str">
        <f>IF(AND('Tank Summary'!$M$16="y",'Tank Summary'!$M$15 = "n"), IF(E66&lt;=$D$10, 10.2, 3.58*(E66/$D$10)+6.66), IF(AND('Tank Summary'!$M$16="y", 'Tank Summary'!$M$15="y"),IF(E66 &lt;= (PI()/4)*$D$10^3, 10.2, 3.58*(E66/$D$12)+6.66), "Tank mixing equations do not apply"))</f>
        <v>Tank mixing equations do not apply</v>
      </c>
      <c r="L66" s="76" t="e">
        <f t="shared" si="5"/>
        <v>#VALUE!</v>
      </c>
      <c r="M66" s="11" t="str">
        <f>IF(ISERROR(H45-H44),"n/a",IF(ISBLANK(E44), H44-H43,H45-H44))</f>
        <v>n/a</v>
      </c>
      <c r="N66" s="47" t="str">
        <f>IF(ISERROR(H45-H44),"n/a",IF(ISBLANK(E44), H45-H44,H44-H43))</f>
        <v>n/a</v>
      </c>
      <c r="O66" s="94"/>
      <c r="Q66" s="481"/>
      <c r="R66" s="481"/>
      <c r="S66" s="481"/>
      <c r="T66" s="481"/>
    </row>
    <row r="67" spans="1:20" ht="13" thickBot="1" x14ac:dyDescent="0.3">
      <c r="B67" s="92">
        <f t="shared" si="3"/>
        <v>0</v>
      </c>
      <c r="C67" s="78">
        <v>15</v>
      </c>
      <c r="D67" s="79">
        <f>IF(ISBLANK(E46),E47,E46)</f>
        <v>0</v>
      </c>
      <c r="E67" s="79">
        <f>IF(ISBLANK(F46),F47,F46)</f>
        <v>0</v>
      </c>
      <c r="F67" s="127" t="str">
        <f t="shared" si="6"/>
        <v>error</v>
      </c>
      <c r="G67" s="127" t="str">
        <f t="shared" si="7"/>
        <v>error</v>
      </c>
      <c r="H67" s="128" t="str">
        <f t="shared" si="8"/>
        <v/>
      </c>
      <c r="I67" s="129" t="str">
        <f t="shared" si="9"/>
        <v>n/a</v>
      </c>
      <c r="J67" s="48" t="e">
        <f t="shared" si="4"/>
        <v>#VALUE!</v>
      </c>
      <c r="K67" s="492" t="str">
        <f>IF(AND('Tank Summary'!$M$16="y",'Tank Summary'!$M$15 = "n"), IF(E67&lt;=$D$10, 10.2, 3.58*(E67/$D$10)+6.66), IF(AND('Tank Summary'!$M$16="y", 'Tank Summary'!$M$15="y"),IF(E67 &lt;= (PI()/4)*$D$10^3, 10.2, 3.58*(E67/$D$12)+6.66), "Tank mixing equations do not apply"))</f>
        <v>Tank mixing equations do not apply</v>
      </c>
      <c r="L67" s="48" t="e">
        <f t="shared" si="5"/>
        <v>#VALUE!</v>
      </c>
      <c r="M67" s="48" t="str">
        <f>IF(ISERROR(H47-H46),"n/a",IF(ISBLANK(E46), H46-H45,H47-H46))</f>
        <v>n/a</v>
      </c>
      <c r="N67" s="65" t="str">
        <f>IF(ISERROR(H47-H46),"n/a",IF(ISBLANK(E46), H47-H46,H46-H45))</f>
        <v>n/a</v>
      </c>
      <c r="O67" s="94"/>
      <c r="Q67" s="481"/>
      <c r="R67" s="481"/>
      <c r="S67" s="481"/>
      <c r="T67" s="481"/>
    </row>
    <row r="68" spans="1:20" ht="13" x14ac:dyDescent="0.3">
      <c r="B68" s="92"/>
      <c r="C68" s="8"/>
      <c r="D68" s="25"/>
      <c r="E68" s="26"/>
      <c r="F68" s="26"/>
      <c r="G68" s="26"/>
      <c r="H68" s="26"/>
      <c r="I68" s="27"/>
      <c r="J68" s="27"/>
      <c r="K68" s="27"/>
      <c r="L68" s="8"/>
      <c r="M68" s="98"/>
      <c r="N68" s="8"/>
      <c r="O68" s="94"/>
      <c r="Q68" s="481"/>
      <c r="R68" s="481"/>
      <c r="S68" s="481"/>
      <c r="T68" s="481"/>
    </row>
    <row r="69" spans="1:20" ht="13.5" thickBot="1" x14ac:dyDescent="0.35">
      <c r="A69" s="94"/>
      <c r="B69" s="92"/>
      <c r="C69" s="99" t="s">
        <v>40</v>
      </c>
      <c r="D69" s="8"/>
      <c r="E69" s="8"/>
      <c r="F69" s="8"/>
      <c r="G69" s="27"/>
      <c r="H69" s="366"/>
      <c r="I69" s="366" t="s">
        <v>18</v>
      </c>
      <c r="J69" s="366"/>
      <c r="K69" s="366"/>
      <c r="L69" s="100"/>
      <c r="M69" s="98"/>
      <c r="N69" s="27"/>
      <c r="O69" s="94"/>
      <c r="Q69" s="481"/>
      <c r="R69" s="481"/>
      <c r="S69" s="481"/>
      <c r="T69" s="481"/>
    </row>
    <row r="70" spans="1:20" ht="13" x14ac:dyDescent="0.3">
      <c r="B70" s="92"/>
      <c r="C70" s="57" t="s">
        <v>39</v>
      </c>
      <c r="D70" s="58"/>
      <c r="E70" s="61" t="e">
        <f>SUM(G53:G67)/COUNTIF(G53:G67,"&gt;0")</f>
        <v>#DIV/0!</v>
      </c>
      <c r="F70" s="52" t="s">
        <v>4</v>
      </c>
      <c r="G70" s="27"/>
      <c r="H70" s="7" t="str">
        <f>IF(D8="y","Avg Vol at Start of Fill","Avg Min Water Level")</f>
        <v>Avg Min Water Level</v>
      </c>
      <c r="I70" s="38"/>
      <c r="J70" s="35" t="e">
        <f>IF('Tank Summary'!M16="n","",SUM(D53:D67)/SUM(B53:B67))</f>
        <v>#DIV/0!</v>
      </c>
      <c r="K70" s="15" t="str">
        <f>IF(D8="y","gal","ft")</f>
        <v>ft</v>
      </c>
      <c r="L70" s="8"/>
      <c r="M70" s="8"/>
      <c r="N70" s="98"/>
      <c r="O70" s="94"/>
      <c r="Q70" s="481"/>
      <c r="R70" s="481"/>
      <c r="S70" s="481"/>
      <c r="T70" s="481"/>
    </row>
    <row r="71" spans="1:20" ht="13" x14ac:dyDescent="0.3">
      <c r="B71" s="92"/>
      <c r="C71" s="4" t="s">
        <v>43</v>
      </c>
      <c r="D71" s="55"/>
      <c r="E71" s="2" t="e">
        <f>SUM(H53:H67)/COUNTIF(H53:H67,"&gt;0")</f>
        <v>#DIV/0!</v>
      </c>
      <c r="F71" s="5" t="s">
        <v>5</v>
      </c>
      <c r="G71" s="8"/>
      <c r="H71" s="39" t="s">
        <v>55</v>
      </c>
      <c r="I71" s="37"/>
      <c r="J71" s="36" t="e">
        <f>IF('Tank Summary'!M16="n","",AVERAGE(J53:J67))</f>
        <v>#VALUE!</v>
      </c>
      <c r="K71" s="16"/>
      <c r="L71" s="8"/>
      <c r="M71" s="8"/>
      <c r="N71" s="8"/>
      <c r="O71" s="94"/>
    </row>
    <row r="72" spans="1:20" ht="13" x14ac:dyDescent="0.3">
      <c r="B72" s="92"/>
      <c r="C72" s="39" t="s">
        <v>36</v>
      </c>
      <c r="D72" s="63"/>
      <c r="E72" s="130" t="e">
        <f>AVERAGE(M53:M67)</f>
        <v>#DIV/0!</v>
      </c>
      <c r="F72" s="16" t="s">
        <v>2</v>
      </c>
      <c r="G72" s="8"/>
      <c r="H72" s="39" t="s">
        <v>56</v>
      </c>
      <c r="I72" s="37"/>
      <c r="J72" s="36" t="e">
        <f>IF('Tank Summary'!M16="n","",AVERAGE(L53:L67))</f>
        <v>#VALUE!</v>
      </c>
      <c r="K72" s="16"/>
      <c r="L72" s="8"/>
      <c r="M72" s="8"/>
      <c r="N72" s="8"/>
      <c r="O72" s="94"/>
    </row>
    <row r="73" spans="1:20" ht="13" x14ac:dyDescent="0.3">
      <c r="B73" s="92"/>
      <c r="C73" s="39" t="s">
        <v>37</v>
      </c>
      <c r="D73" s="63"/>
      <c r="E73" s="131" t="e">
        <f>AVERAGE(N53:N67)</f>
        <v>#DIV/0!</v>
      </c>
      <c r="F73" s="62" t="s">
        <v>2</v>
      </c>
      <c r="G73" s="8"/>
      <c r="H73" s="39" t="str">
        <f>IF(D8="y","Avg Measured Vol Change","Avg Measured Water Level Change")</f>
        <v>Avg Measured Water Level Change</v>
      </c>
      <c r="I73" s="37"/>
      <c r="J73" s="83" t="e">
        <f>IF('Tank Summary'!M16="n","",(SUM(E53:E67)/SUM(B53:B67))-J70)</f>
        <v>#DIV/0!</v>
      </c>
      <c r="K73" s="16" t="str">
        <f>IF(D8="y","gal","ft")</f>
        <v>ft</v>
      </c>
      <c r="L73" s="8"/>
      <c r="M73" s="8"/>
      <c r="N73" s="8"/>
      <c r="O73" s="94"/>
    </row>
    <row r="74" spans="1:20" ht="24.75" customHeight="1" x14ac:dyDescent="0.3">
      <c r="B74" s="92"/>
      <c r="C74" s="39" t="s">
        <v>28</v>
      </c>
      <c r="D74" s="63"/>
      <c r="E74" s="34" t="e">
        <f>E70*10^6/(E72*24*60)</f>
        <v>#DIV/0!</v>
      </c>
      <c r="F74" s="41" t="s">
        <v>26</v>
      </c>
      <c r="G74" s="8"/>
      <c r="H74" s="505" t="str">
        <f>IF(D8="y","Desired Vol Change Needed for Good Mixing","Desired Water Level Change Needed for Good Mixing")</f>
        <v>Desired Water Level Change Needed for Good Mixing</v>
      </c>
      <c r="I74" s="506"/>
      <c r="J74" s="45" t="e">
        <f>IF('Tank Summary'!M16="n","",$J$70*J72)</f>
        <v>#DIV/0!</v>
      </c>
      <c r="K74" s="43" t="str">
        <f>IF(D8="y","gal","ft")</f>
        <v>ft</v>
      </c>
      <c r="L74" s="8"/>
      <c r="M74" s="8"/>
      <c r="N74" s="8"/>
      <c r="O74" s="94"/>
    </row>
    <row r="75" spans="1:20" ht="24.75" customHeight="1" x14ac:dyDescent="0.3">
      <c r="B75" s="92"/>
      <c r="C75" s="39" t="s">
        <v>29</v>
      </c>
      <c r="D75" s="63"/>
      <c r="E75" s="34" t="e">
        <f>E71*10^6/(E73*24*60)</f>
        <v>#DIV/0!</v>
      </c>
      <c r="F75" s="41" t="s">
        <v>26</v>
      </c>
      <c r="G75" s="8"/>
      <c r="H75" s="39" t="s">
        <v>57</v>
      </c>
      <c r="I75" s="432"/>
      <c r="J75" s="160" t="e">
        <f>IF('Tank Summary'!M16="n","",J73/J74)</f>
        <v>#DIV/0!</v>
      </c>
      <c r="K75" s="5"/>
      <c r="L75" s="8"/>
      <c r="M75" s="8"/>
      <c r="N75" s="8"/>
      <c r="O75" s="94"/>
    </row>
    <row r="76" spans="1:20" ht="27" customHeight="1" thickBot="1" x14ac:dyDescent="0.35">
      <c r="B76" s="92"/>
      <c r="C76" s="59" t="s">
        <v>38</v>
      </c>
      <c r="D76" s="60"/>
      <c r="E76" s="64" t="e">
        <f>E72+E73</f>
        <v>#DIV/0!</v>
      </c>
      <c r="F76" s="24" t="s">
        <v>2</v>
      </c>
      <c r="G76" s="8"/>
      <c r="H76" s="42" t="s">
        <v>54</v>
      </c>
      <c r="I76" s="431"/>
      <c r="J76" s="44" t="e">
        <f>IF('Tank Summary'!M16="n","",(((((SUM(F53:F67)/SUM(B53:B67))*10^6/7.48)^(1/3))*$J$71)/9)*12)</f>
        <v>#DIV/0!</v>
      </c>
      <c r="K76" s="3" t="s">
        <v>31</v>
      </c>
      <c r="L76" s="8"/>
      <c r="M76" s="8"/>
      <c r="N76" s="8"/>
      <c r="O76" s="94"/>
    </row>
    <row r="77" spans="1:20" ht="14.25" customHeight="1" x14ac:dyDescent="0.3">
      <c r="B77" s="92"/>
      <c r="C77" s="39" t="s">
        <v>53</v>
      </c>
      <c r="D77" s="56"/>
      <c r="E77" s="36" t="e">
        <f>E70/E76</f>
        <v>#DIV/0!</v>
      </c>
      <c r="F77" s="5" t="s">
        <v>3</v>
      </c>
      <c r="G77" s="8"/>
      <c r="H77" s="8"/>
      <c r="I77" s="507" t="str">
        <f>IF('Tank Summary'!M26="no","The tank mixing equations are not applicable.",IF(J73&lt;J74,"Mixing is at an undesirable level, use Mixing Analysis (Section II) to determine strategies that will increase mixing.","Mixing is at a desired level."))</f>
        <v>The tank mixing equations are not applicable.</v>
      </c>
      <c r="J77" s="507"/>
      <c r="K77" s="507"/>
      <c r="L77" s="508"/>
      <c r="M77" s="8"/>
      <c r="N77" s="8"/>
      <c r="O77" s="94"/>
    </row>
    <row r="78" spans="1:20" ht="13" x14ac:dyDescent="0.3">
      <c r="B78" s="92"/>
      <c r="C78" s="39" t="s">
        <v>44</v>
      </c>
      <c r="D78" s="56"/>
      <c r="E78" s="36" t="e">
        <f>AVERAGE(I53:I67)</f>
        <v>#DIV/0!</v>
      </c>
      <c r="F78" s="5" t="s">
        <v>5</v>
      </c>
      <c r="G78" s="8"/>
      <c r="H78" s="8"/>
      <c r="I78" s="508"/>
      <c r="J78" s="508"/>
      <c r="K78" s="508"/>
      <c r="L78" s="508"/>
      <c r="M78" s="8"/>
      <c r="N78" s="8"/>
      <c r="O78" s="94"/>
    </row>
    <row r="79" spans="1:20" ht="13.5" thickBot="1" x14ac:dyDescent="0.35">
      <c r="B79" s="92"/>
      <c r="C79" s="42" t="s">
        <v>8</v>
      </c>
      <c r="D79" s="40"/>
      <c r="E79" s="54" t="e">
        <f>E78/E77</f>
        <v>#DIV/0!</v>
      </c>
      <c r="F79" s="6" t="s">
        <v>2</v>
      </c>
      <c r="G79" s="8"/>
      <c r="H79" s="8"/>
      <c r="I79" s="508"/>
      <c r="J79" s="508"/>
      <c r="K79" s="508"/>
      <c r="L79" s="508"/>
      <c r="M79" s="8"/>
      <c r="N79" s="8"/>
      <c r="O79" s="94"/>
    </row>
    <row r="80" spans="1:20" ht="12.75" customHeight="1" x14ac:dyDescent="0.3">
      <c r="B80" s="92"/>
      <c r="C80" s="93"/>
      <c r="D80" s="503" t="e">
        <f>IF(E79&gt;5, "Turnover time is at an undesirable level, use Turnover Time Analysis (Step 2) to determine operational strategies that will reduce turnover time.","Turnover Time is at a desired level.")</f>
        <v>#DIV/0!</v>
      </c>
      <c r="E80" s="503"/>
      <c r="F80" s="503"/>
      <c r="G80" s="8"/>
      <c r="H80" s="126"/>
      <c r="I80" s="508"/>
      <c r="J80" s="508"/>
      <c r="K80" s="508"/>
      <c r="L80" s="508"/>
      <c r="M80" s="8"/>
      <c r="N80" s="8"/>
      <c r="O80" s="94"/>
    </row>
    <row r="81" spans="2:15" ht="11.25" customHeight="1" x14ac:dyDescent="0.3">
      <c r="B81" s="92"/>
      <c r="C81" s="8"/>
      <c r="D81" s="504"/>
      <c r="E81" s="504"/>
      <c r="F81" s="504"/>
      <c r="G81" s="8"/>
      <c r="H81" s="126"/>
      <c r="I81" s="82"/>
      <c r="J81" s="82"/>
      <c r="K81" s="82"/>
      <c r="L81" s="82"/>
      <c r="M81" s="8"/>
      <c r="N81" s="8"/>
      <c r="O81" s="94"/>
    </row>
    <row r="82" spans="2:15" ht="12.75" customHeight="1" x14ac:dyDescent="0.25">
      <c r="B82" s="92"/>
      <c r="C82" s="8"/>
      <c r="D82" s="504"/>
      <c r="E82" s="504"/>
      <c r="F82" s="504"/>
      <c r="G82" s="8"/>
      <c r="H82" s="8"/>
      <c r="I82" s="8"/>
      <c r="J82" s="29"/>
      <c r="K82" s="29"/>
      <c r="L82" s="8"/>
      <c r="M82" s="8"/>
      <c r="N82" s="8"/>
      <c r="O82" s="94"/>
    </row>
    <row r="83" spans="2:15" ht="16.5" customHeight="1" x14ac:dyDescent="0.25">
      <c r="B83" s="92"/>
      <c r="C83" s="8"/>
      <c r="D83" s="504"/>
      <c r="E83" s="504"/>
      <c r="F83" s="504"/>
      <c r="G83" s="8"/>
      <c r="H83" s="8"/>
      <c r="I83" s="8"/>
      <c r="J83" s="29"/>
      <c r="K83" s="29"/>
      <c r="L83" s="8"/>
      <c r="M83" s="8"/>
      <c r="N83" s="8"/>
      <c r="O83" s="94"/>
    </row>
    <row r="84" spans="2:15" ht="13" thickBot="1" x14ac:dyDescent="0.3">
      <c r="B84" s="101"/>
      <c r="C84" s="102"/>
      <c r="D84" s="102"/>
      <c r="E84" s="102"/>
      <c r="F84" s="102"/>
      <c r="G84" s="102"/>
      <c r="H84" s="102"/>
      <c r="I84" s="102"/>
      <c r="J84" s="102"/>
      <c r="K84" s="102"/>
      <c r="L84" s="102"/>
      <c r="M84" s="102"/>
      <c r="N84" s="102"/>
      <c r="O84" s="103"/>
    </row>
    <row r="85" spans="2:15" ht="18.5" thickBot="1" x14ac:dyDescent="0.45">
      <c r="B85" s="116" t="s">
        <v>188</v>
      </c>
      <c r="C85" s="111"/>
      <c r="D85" s="111"/>
      <c r="E85" s="120"/>
      <c r="F85" s="121"/>
      <c r="G85" s="111"/>
      <c r="H85" s="111"/>
      <c r="I85" s="111"/>
      <c r="J85" s="111"/>
      <c r="K85" s="111"/>
      <c r="L85" s="118"/>
      <c r="M85" s="118"/>
      <c r="N85" s="118"/>
      <c r="O85" s="119"/>
    </row>
    <row r="86" spans="2:15" x14ac:dyDescent="0.25">
      <c r="B86" s="92"/>
      <c r="C86" s="29"/>
      <c r="D86" s="29"/>
      <c r="E86" s="29"/>
      <c r="F86" s="29"/>
      <c r="G86" s="29"/>
      <c r="H86" s="29"/>
      <c r="I86" s="29"/>
      <c r="J86" s="29"/>
      <c r="K86" s="29"/>
      <c r="L86" s="8"/>
      <c r="M86" s="8"/>
      <c r="N86" s="8"/>
      <c r="O86" s="94"/>
    </row>
    <row r="87" spans="2:15" ht="13" x14ac:dyDescent="0.3">
      <c r="B87" s="92"/>
      <c r="C87" s="95" t="s">
        <v>65</v>
      </c>
      <c r="D87" s="29"/>
      <c r="E87" s="29"/>
      <c r="F87" s="29"/>
      <c r="G87" s="29"/>
      <c r="H87" s="29"/>
      <c r="I87" s="29"/>
      <c r="J87" s="29"/>
      <c r="K87" s="29"/>
      <c r="L87" s="8"/>
      <c r="M87" s="8"/>
      <c r="N87" s="8"/>
      <c r="O87" s="94"/>
    </row>
    <row r="88" spans="2:15" ht="13" x14ac:dyDescent="0.3">
      <c r="B88" s="92"/>
      <c r="C88" s="95" t="s">
        <v>207</v>
      </c>
      <c r="D88" s="29"/>
      <c r="E88" s="29"/>
      <c r="F88" s="29"/>
      <c r="G88" s="29"/>
      <c r="H88" s="29"/>
      <c r="I88" s="29"/>
      <c r="J88" s="29"/>
      <c r="K88" s="29"/>
      <c r="L88" s="8"/>
      <c r="M88" s="8"/>
      <c r="N88" s="8"/>
      <c r="O88" s="94"/>
    </row>
    <row r="89" spans="2:15" ht="13" x14ac:dyDescent="0.3">
      <c r="B89" s="92"/>
      <c r="C89" s="95"/>
      <c r="D89" s="29"/>
      <c r="E89" s="29"/>
      <c r="F89" s="29"/>
      <c r="G89" s="29"/>
      <c r="H89" s="29"/>
      <c r="I89" s="29"/>
      <c r="J89" s="29"/>
      <c r="K89" s="29"/>
      <c r="L89" s="8"/>
      <c r="M89" s="8"/>
      <c r="N89" s="8"/>
      <c r="O89" s="94"/>
    </row>
    <row r="90" spans="2:15" ht="13" x14ac:dyDescent="0.3">
      <c r="B90" s="92"/>
      <c r="C90" s="95" t="s">
        <v>77</v>
      </c>
      <c r="D90" s="29"/>
      <c r="E90" s="29"/>
      <c r="F90" s="29"/>
      <c r="G90" s="29"/>
      <c r="H90" s="29"/>
      <c r="I90" s="29"/>
      <c r="J90" s="29"/>
      <c r="K90" s="29"/>
      <c r="L90" s="8"/>
      <c r="M90" s="8"/>
      <c r="N90" s="8"/>
      <c r="O90" s="94"/>
    </row>
    <row r="91" spans="2:15" ht="13" x14ac:dyDescent="0.3">
      <c r="B91" s="92"/>
      <c r="C91" s="344" t="s">
        <v>294</v>
      </c>
      <c r="D91" s="488"/>
      <c r="E91" s="488"/>
      <c r="F91" s="488"/>
      <c r="G91" s="488"/>
      <c r="H91" s="29"/>
      <c r="I91" s="29"/>
      <c r="J91" s="29"/>
      <c r="K91" s="29"/>
      <c r="L91" s="8"/>
      <c r="M91" s="8"/>
      <c r="N91" s="8"/>
      <c r="O91" s="94"/>
    </row>
    <row r="92" spans="2:15" ht="13" x14ac:dyDescent="0.3">
      <c r="B92" s="92"/>
      <c r="C92" s="95"/>
      <c r="D92" s="29"/>
      <c r="E92" s="29"/>
      <c r="F92" s="29"/>
      <c r="G92" s="29"/>
      <c r="H92" s="29"/>
      <c r="I92" s="29"/>
      <c r="J92" s="29"/>
      <c r="K92" s="29"/>
      <c r="L92" s="8"/>
      <c r="M92" s="8"/>
      <c r="N92" s="8"/>
      <c r="O92" s="94"/>
    </row>
    <row r="93" spans="2:15" ht="13" x14ac:dyDescent="0.3">
      <c r="B93" s="92"/>
      <c r="C93" s="95" t="s">
        <v>280</v>
      </c>
      <c r="D93" s="29"/>
      <c r="E93" s="29"/>
      <c r="F93" s="29"/>
      <c r="G93" s="29"/>
      <c r="H93" s="29"/>
      <c r="I93" s="29"/>
      <c r="J93" s="29"/>
      <c r="K93" s="29"/>
      <c r="L93" s="8"/>
      <c r="M93" s="8"/>
      <c r="N93" s="8"/>
      <c r="O93" s="94"/>
    </row>
    <row r="94" spans="2:15" ht="13" x14ac:dyDescent="0.3">
      <c r="B94" s="92"/>
      <c r="C94" s="95"/>
      <c r="D94" s="29"/>
      <c r="E94" s="29"/>
      <c r="F94" s="29"/>
      <c r="G94" s="29"/>
      <c r="H94" s="29"/>
      <c r="I94" s="29"/>
      <c r="J94" s="29"/>
      <c r="K94" s="29"/>
      <c r="L94" s="8"/>
      <c r="M94" s="8"/>
      <c r="N94" s="8"/>
      <c r="O94" s="94"/>
    </row>
    <row r="95" spans="2:15" ht="13" x14ac:dyDescent="0.3">
      <c r="B95" s="92"/>
      <c r="C95" s="29"/>
      <c r="D95" s="133" t="s">
        <v>27</v>
      </c>
      <c r="E95" s="81" t="s">
        <v>45</v>
      </c>
      <c r="F95" s="81" t="s">
        <v>46</v>
      </c>
      <c r="G95" s="81" t="s">
        <v>47</v>
      </c>
      <c r="H95" s="81" t="s">
        <v>48</v>
      </c>
      <c r="I95" s="81" t="s">
        <v>49</v>
      </c>
      <c r="J95" s="29"/>
      <c r="K95" s="29"/>
      <c r="L95" s="8"/>
      <c r="M95" s="8"/>
      <c r="N95" s="8"/>
      <c r="O95" s="94"/>
    </row>
    <row r="96" spans="2:15" ht="13" x14ac:dyDescent="0.3">
      <c r="B96" s="92"/>
      <c r="C96" s="122" t="str">
        <f>IF(OR($D$7="c",D7="h"), "Tank diameter", IF($D$7="r","Longest Sidewall Length",""))</f>
        <v/>
      </c>
      <c r="D96" s="31">
        <f>'Tank#2'!D10</f>
        <v>0</v>
      </c>
      <c r="E96" s="66">
        <f>$D$96</f>
        <v>0</v>
      </c>
      <c r="F96" s="66">
        <f>$D$96</f>
        <v>0</v>
      </c>
      <c r="G96" s="66">
        <f>$D$96</f>
        <v>0</v>
      </c>
      <c r="H96" s="66">
        <f>$D$96</f>
        <v>0</v>
      </c>
      <c r="I96" s="66">
        <f>$D$96</f>
        <v>0</v>
      </c>
      <c r="J96" s="95" t="str">
        <f>IF(D8="y","","ft")</f>
        <v>ft</v>
      </c>
      <c r="K96" s="95"/>
      <c r="L96" s="8"/>
      <c r="M96" s="8"/>
      <c r="N96" s="8"/>
      <c r="O96" s="94"/>
    </row>
    <row r="97" spans="2:15" ht="13" x14ac:dyDescent="0.3">
      <c r="B97" s="92"/>
      <c r="C97" s="95" t="str">
        <f>IF(OR($D$7="c",D7="h"),"",IF($D$7="r","Shortest Sidewall Length",""))</f>
        <v/>
      </c>
      <c r="D97" s="33">
        <f>'Tank#2'!D11</f>
        <v>0</v>
      </c>
      <c r="E97" s="66">
        <f>$D$97</f>
        <v>0</v>
      </c>
      <c r="F97" s="66">
        <f>$D$97</f>
        <v>0</v>
      </c>
      <c r="G97" s="66">
        <f>$D$97</f>
        <v>0</v>
      </c>
      <c r="H97" s="66">
        <f>$D$97</f>
        <v>0</v>
      </c>
      <c r="I97" s="66">
        <f>$D$97</f>
        <v>0</v>
      </c>
      <c r="J97" s="95" t="str">
        <f>IF(D8="y","","ft")</f>
        <v>ft</v>
      </c>
      <c r="K97" s="95"/>
      <c r="L97" s="8"/>
      <c r="M97" s="8"/>
      <c r="N97" s="8"/>
      <c r="O97" s="94"/>
    </row>
    <row r="98" spans="2:15" ht="13" x14ac:dyDescent="0.3">
      <c r="B98" s="92"/>
      <c r="C98" s="346" t="s">
        <v>30</v>
      </c>
      <c r="D98" s="124">
        <f>'Tank#2'!D13</f>
        <v>0</v>
      </c>
      <c r="E98" s="345"/>
      <c r="F98" s="345"/>
      <c r="G98" s="345"/>
      <c r="H98" s="345"/>
      <c r="I98" s="345"/>
      <c r="J98" s="95" t="s">
        <v>1</v>
      </c>
      <c r="K98" s="95"/>
      <c r="L98" s="8"/>
      <c r="M98" s="8"/>
      <c r="N98" s="8"/>
      <c r="O98" s="94"/>
    </row>
    <row r="99" spans="2:15" ht="13" x14ac:dyDescent="0.3">
      <c r="B99" s="92"/>
      <c r="C99" s="346" t="str">
        <f>IF(D8="y","Fraction Full (Max Level)","High/Max Level")</f>
        <v>High/Max Level</v>
      </c>
      <c r="D99" s="80" t="b">
        <f>IF(OR($D$7="c",$D$7="r",$D$7="h"),(SUM(E53:E67)/COUNTIF(E53:E67,"&gt;0")),IF($D$8="y",(SUM(E53:E67)/COUNTIF(E53:E67,"&gt;0"))/($D$6*10^6)))</f>
        <v>0</v>
      </c>
      <c r="E99" s="345"/>
      <c r="F99" s="345"/>
      <c r="G99" s="345"/>
      <c r="H99" s="345"/>
      <c r="I99" s="345"/>
      <c r="J99" s="95" t="str">
        <f>IF(D8="y","","ft")</f>
        <v>ft</v>
      </c>
      <c r="K99" s="95"/>
      <c r="L99" s="8"/>
      <c r="M99" s="8"/>
      <c r="N99" s="8"/>
      <c r="O99" s="94"/>
    </row>
    <row r="100" spans="2:15" ht="13" x14ac:dyDescent="0.3">
      <c r="B100" s="92"/>
      <c r="C100" s="346" t="str">
        <f>IF(D8="y","Fraction Full (Min Level)","Low/Min Level")</f>
        <v>Low/Min Level</v>
      </c>
      <c r="D100" s="80" t="b">
        <f>IF(OR($D$7="c",$D$7="r",$D$7="s",$D$7="h"),(SUM(D53:D67)/COUNTIF(D53:D67,"&gt;0")),IF($D$8="y",(SUM(D53:D67)/COUNTIF(D53:D67,"&gt;0"))/($D$6*10^6)))</f>
        <v>0</v>
      </c>
      <c r="E100" s="345"/>
      <c r="F100" s="345"/>
      <c r="G100" s="345"/>
      <c r="H100" s="345"/>
      <c r="I100" s="345"/>
      <c r="J100" s="95" t="str">
        <f>IF(D8="y","","ft")</f>
        <v>ft</v>
      </c>
      <c r="K100" s="95"/>
      <c r="L100" s="8"/>
      <c r="M100" s="8"/>
      <c r="N100" s="8"/>
      <c r="O100" s="94"/>
    </row>
    <row r="101" spans="2:15" ht="15.5" x14ac:dyDescent="0.35">
      <c r="B101" s="92"/>
      <c r="C101" s="125" t="str">
        <f>IF(OR(D7="c", D7="r",D7="h"),"H/D ratio","")</f>
        <v/>
      </c>
      <c r="D101" s="490" t="str">
        <f t="shared" ref="D101:I101" si="10">IF(OR($D$7="c", $D$7="r",$D$7="h"),D99/D96,"")</f>
        <v/>
      </c>
      <c r="E101" s="124" t="str">
        <f t="shared" si="10"/>
        <v/>
      </c>
      <c r="F101" s="124" t="str">
        <f t="shared" si="10"/>
        <v/>
      </c>
      <c r="G101" s="124" t="str">
        <f t="shared" si="10"/>
        <v/>
      </c>
      <c r="H101" s="124" t="str">
        <f t="shared" si="10"/>
        <v/>
      </c>
      <c r="I101" s="124" t="str">
        <f t="shared" si="10"/>
        <v/>
      </c>
      <c r="J101" s="134"/>
      <c r="K101" s="148"/>
      <c r="L101" s="8"/>
      <c r="M101" s="8"/>
      <c r="N101" s="8"/>
      <c r="O101" s="94"/>
    </row>
    <row r="102" spans="2:15" ht="13" x14ac:dyDescent="0.3">
      <c r="B102" s="92"/>
      <c r="C102" s="123" t="str">
        <f>IF(D8="y","Actual Vol Change","Actual Level Change")</f>
        <v>Actual Level Change</v>
      </c>
      <c r="D102" s="124" t="e">
        <f>'Tank#2'!J73</f>
        <v>#DIV/0!</v>
      </c>
      <c r="E102" s="80" t="str">
        <f>IF(OR($D$7="c",$D$7="h",$D$7="r"),E99-E100,IF($D$8="y",($D$6*10^6)*(E99-E100),""))</f>
        <v/>
      </c>
      <c r="F102" s="80" t="str">
        <f>IF(OR($D$7="c",$D$7="h",$D$7="r"),F99-F100,IF($D$8="y",($D$6*10^6)*(F99-F100),""))</f>
        <v/>
      </c>
      <c r="G102" s="80" t="str">
        <f>IF(OR($D$7="c",$D$7="h",$D$7="r"),G99-G100,IF($D$8="y",($D$6*10^6)*(G99-G100),""))</f>
        <v/>
      </c>
      <c r="H102" s="80" t="str">
        <f>IF(OR($D$7="c",$D$7="h",$D$7="r"),H99-H100,IF($D$8="y",($D$6*10^6)*(H99-H100),""))</f>
        <v/>
      </c>
      <c r="I102" s="80" t="str">
        <f>IF(OR($D$7="c",$D$7="h",$D$7="r"),I99-I100,IF($D$8="y",($D$6*10^6)*(I99-I100),""))</f>
        <v/>
      </c>
      <c r="J102" s="95" t="str">
        <f>IF(OR(D7="c",D7="r"),"ft",IF(AND(D7="n",D8="y"),"gal",""))</f>
        <v/>
      </c>
      <c r="K102" s="95"/>
      <c r="L102" s="8"/>
      <c r="M102" s="8"/>
      <c r="N102" s="8"/>
      <c r="O102" s="94"/>
    </row>
    <row r="103" spans="2:15" ht="13" x14ac:dyDescent="0.3">
      <c r="B103" s="92"/>
      <c r="C103" s="123" t="s">
        <v>94</v>
      </c>
      <c r="D103" s="494" t="e">
        <f>IF('Tank Summary'!$K$16="y",IF((D99/$D$10)&lt;=1,10.2,(3.58*(D99/$D$10)+6.66)),"Tank mixing equations do not apply")</f>
        <v>#DIV/0!</v>
      </c>
      <c r="E103" s="494" t="e">
        <f>IF('Tank Summary'!$K$16="y",IF((E99/$D$10)&lt;=1,10.2,(3.58*(E99/$D$10)+6.66)),"Tank mixing equations do not apply")</f>
        <v>#DIV/0!</v>
      </c>
      <c r="F103" s="494" t="e">
        <f>IF('Tank Summary'!$K$16="y",IF((F99/$D$10)&lt;=1,10.2,(3.58*(F99/$D$10)+6.66)),"Tank mixing equations do not apply")</f>
        <v>#DIV/0!</v>
      </c>
      <c r="G103" s="494" t="e">
        <f>IF('Tank Summary'!$K$16="y",IF((G99/$D$10)&lt;=1,10.2,(3.58*(G99/$D$10)+6.66)),"Tank mixing equations do not apply")</f>
        <v>#DIV/0!</v>
      </c>
      <c r="H103" s="494" t="e">
        <f>IF('Tank Summary'!$K$16="y",IF((H99/$D$10)&lt;=1,10.2,(3.58*(H99/$D$10)+6.66)),"Tank mixing equations do not apply")</f>
        <v>#DIV/0!</v>
      </c>
      <c r="I103" s="494" t="e">
        <f>IF('Tank Summary'!$K$16="y",IF((I99/$D$10)&lt;=1,10.2,(3.58*(I99/$D$10)+6.66)),"Tank mixing equations do not apply")</f>
        <v>#DIV/0!</v>
      </c>
      <c r="J103" s="95"/>
      <c r="K103" s="95"/>
      <c r="L103" s="8"/>
      <c r="M103" s="8"/>
      <c r="N103" s="8"/>
      <c r="O103" s="94"/>
    </row>
    <row r="104" spans="2:15" ht="26" x14ac:dyDescent="0.3">
      <c r="B104" s="92"/>
      <c r="C104" s="123" t="str">
        <f>IF(D8="y","Desired Vol Change Needed for Good Mixing","Desired Level Change Needed for Good Mixing")</f>
        <v>Desired Level Change Needed for Good Mixing</v>
      </c>
      <c r="D104" s="124" t="e">
        <f>'Tank#2'!J74</f>
        <v>#DIV/0!</v>
      </c>
      <c r="E104" s="80" t="str">
        <f>IF(OR($D$7="c",$D$7="h"),(((E103/1.13)*E98)/((E100*PI()*(E96/2)^2)^(1/3)))*E100,IF($D$7="r",(((E103/1.13)*E98)/((E100*E96*E97)^(1/3)))*E100,IF($D$8="y",(((E103/1.13)*E98)/(((E100*$D$6*10^6)/7.480519)^(1/3)))*(E100*$D$6*10^6),"")))</f>
        <v/>
      </c>
      <c r="F104" s="80" t="str">
        <f>IF(OR($D$7="c",$D$7="h"),(((F103/1.13)*F98)/((F100*PI()*(F96/2)^2)^(1/3)))*F100,IF($D$7="r",(((F103/1.13)*F98)/((F100*F96*F97)^(1/3)))*F100,IF($D$8="y",(((F103/1.13)*F98)/(((F100*$D$6*10^6)/7.480519)^(1/3)))*(F100*$D$6*10^6),"")))</f>
        <v/>
      </c>
      <c r="G104" s="80" t="str">
        <f>IF(OR($D$7="c",$D$7="h"),(((G103/1.13)*G98)/((G100*PI()*(G96/2)^2)^(1/3)))*G100,IF($D$7="r",(((G103/1.13)*G98)/((G100*G96*G97)^(1/3)))*G100,IF($D$8="y",(((G103/1.13)*G98)/(((G100*$D$6*10^6)/7.480519)^(1/3)))*(G100*$D$6*10^6),"")))</f>
        <v/>
      </c>
      <c r="H104" s="80" t="str">
        <f>IF(OR($D$7="c",$D$7="h"),(((H103/1.13)*H98)/((H100*PI()*(H96/2)^2)^(1/3)))*H100,IF($D$7="r",(((H103/1.13)*H98)/((H100*H96*H97)^(1/3)))*H100,IF($D$8="y",(((H103/1.13)*H98)/(((H100*$D$6*10^6)/7.480519)^(1/3)))*(H100*$D$6*10^6),"")))</f>
        <v/>
      </c>
      <c r="I104" s="80" t="str">
        <f>IF(OR($D$7="c",$D$7="h"),(((I103/1.13)*I98)/((I100*PI()*(I96/2)^2)^(1/3)))*I100,IF($D$7="r",(((I103/1.13)*I98)/((I100*I96*I97)^(1/3)))*I100,IF($D$8="y",(((I103/1.13)*I98)/(((I100*$D$6*10^6)/7.480519)^(1/3)))*(I100*$D$6*10^6),"")))</f>
        <v/>
      </c>
      <c r="J104" s="95" t="str">
        <f>IF(OR(D7="c",D7="r"),"ft",IF(AND(D7="n",D8="y"),"gal",""))</f>
        <v/>
      </c>
      <c r="K104" s="95"/>
      <c r="L104" s="8"/>
      <c r="M104" s="8"/>
      <c r="N104" s="8"/>
      <c r="O104" s="94"/>
    </row>
    <row r="105" spans="2:15" ht="39" customHeight="1" x14ac:dyDescent="0.3">
      <c r="B105" s="92"/>
      <c r="C105" s="105" t="str">
        <f>IF(D8="y","","Pressure Drop After Change in Min Water Level")</f>
        <v>Pressure Drop After Change in Min Water Level</v>
      </c>
      <c r="D105" s="12"/>
      <c r="E105" s="12">
        <f>IF($D$8="y","",($D$100-E100)/2.31)</f>
        <v>0</v>
      </c>
      <c r="F105" s="12">
        <f>IF($D$8="y","",($D$100-F100)/2.31)</f>
        <v>0</v>
      </c>
      <c r="G105" s="12">
        <f>IF($D$8="y","",($D$100-G100)/2.31)</f>
        <v>0</v>
      </c>
      <c r="H105" s="12">
        <f>IF($D$8="y","",($D$100-H100)/2.31)</f>
        <v>0</v>
      </c>
      <c r="I105" s="12">
        <f>IF($D$8="y","",($D$100-I100)/2.31)</f>
        <v>0</v>
      </c>
      <c r="J105" s="95" t="str">
        <f>IF(OR(D7="c",D7="r",D7="h"),"psi",IF(AND(D7="n",D8="y"),"",""))</f>
        <v/>
      </c>
      <c r="K105" s="95"/>
      <c r="L105" s="8"/>
      <c r="M105" s="8"/>
      <c r="N105" s="8"/>
      <c r="O105" s="94"/>
    </row>
    <row r="106" spans="2:15" ht="13" x14ac:dyDescent="0.3">
      <c r="B106" s="92"/>
      <c r="C106" s="123" t="s">
        <v>287</v>
      </c>
      <c r="D106" s="33" t="e">
        <f>'Tank#2'!E74</f>
        <v>#DIV/0!</v>
      </c>
      <c r="E106" s="33" t="e">
        <f>D106</f>
        <v>#DIV/0!</v>
      </c>
      <c r="F106" s="33" t="e">
        <f>E106</f>
        <v>#DIV/0!</v>
      </c>
      <c r="G106" s="33" t="e">
        <f>F106</f>
        <v>#DIV/0!</v>
      </c>
      <c r="H106" s="159" t="e">
        <f>G106</f>
        <v>#DIV/0!</v>
      </c>
      <c r="I106" s="159" t="e">
        <f>H106</f>
        <v>#DIV/0!</v>
      </c>
      <c r="J106" s="95" t="s">
        <v>26</v>
      </c>
      <c r="K106" s="95"/>
      <c r="L106" s="8"/>
      <c r="M106" s="8"/>
      <c r="N106" s="8"/>
      <c r="O106" s="94"/>
    </row>
    <row r="107" spans="2:15" ht="26" x14ac:dyDescent="0.3">
      <c r="B107" s="92"/>
      <c r="C107" s="105" t="s">
        <v>286</v>
      </c>
      <c r="D107" s="33" t="e">
        <f>'Tank#2'!E75</f>
        <v>#DIV/0!</v>
      </c>
      <c r="E107" s="33" t="e">
        <f>D107</f>
        <v>#DIV/0!</v>
      </c>
      <c r="F107" s="33" t="e">
        <f>D107</f>
        <v>#DIV/0!</v>
      </c>
      <c r="G107" s="33" t="e">
        <f>D107</f>
        <v>#DIV/0!</v>
      </c>
      <c r="H107" s="159" t="e">
        <f>D107</f>
        <v>#DIV/0!</v>
      </c>
      <c r="I107" s="159" t="e">
        <f>D107</f>
        <v>#DIV/0!</v>
      </c>
      <c r="J107" s="95" t="s">
        <v>26</v>
      </c>
      <c r="K107" s="95"/>
      <c r="L107" s="8"/>
      <c r="M107" s="8"/>
      <c r="N107" s="8"/>
      <c r="O107" s="94"/>
    </row>
    <row r="108" spans="2:15" ht="13" x14ac:dyDescent="0.3">
      <c r="B108" s="92"/>
      <c r="C108" s="123" t="s">
        <v>36</v>
      </c>
      <c r="D108" s="11" t="e">
        <f>'Tank#2'!E72</f>
        <v>#DIV/0!</v>
      </c>
      <c r="E108" s="11" t="e">
        <f>ROUND(IF(OR($D$7="c",$D$7="h"),(E99-E100)*PI()*((E96/2)^2)*7.480519/(E106*24*60),IF($D$7="r",(E99-E100)*E96*E97*7.480519/(E106*24*60),IF($D$8="y",((E99*$D$6*10^6)-(E100*$D$6*10^6))/(E106*24*60),""))),2)</f>
        <v>#VALUE!</v>
      </c>
      <c r="F108" s="11" t="e">
        <f>ROUND(IF(OR($D$7="c",$D$7="h"),(F99-F100)*PI()*((F96/2)^2)*7.480519/(F106*24*60),IF($D$7="r",(F99-F100)*F96*F97*7.480519/(F106*24*60),IF($D$8="y",((F99*$D$6*10^6)-(F100*$D$6*10^6))/(F106*24*60),""))),2)</f>
        <v>#VALUE!</v>
      </c>
      <c r="G108" s="11" t="e">
        <f>ROUND(IF(OR($D$7="c",$D$7="h"),(G99-G100)*PI()*((G96/2)^2)*7.480519/(G106*24*60),IF($D$7="r",(G99-G100)*G96*G97*7.480519/(G106*24*60),IF($D$8="y",((G99*$D$6*10^6)-(G100*$D$6*10^6))/(G106*24*60),""))),2)</f>
        <v>#VALUE!</v>
      </c>
      <c r="H108" s="11" t="e">
        <f>ROUND(IF(OR($D$7="c",$D$7="h"),(H99-H100)*PI()*((H96/2)^2)*7.480519/(H106*24*60),IF($D$7="r",(H99-H100)*H96*H97*7.480519/(H106*24*60),IF($D$8="y",((H99*$D$6*10^6)-(H100*$D$6*10^6))/(H106*24*60),""))),2)</f>
        <v>#VALUE!</v>
      </c>
      <c r="I108" s="11" t="e">
        <f>ROUND(IF(OR($D$7="c",$D$7="h"),(I99-I100)*PI()*((I96/2)^2)*7.480519/(I106*24*60),IF($D$7="r",(I99-I100)*I96*I97*7.480519/(I106*24*60),IF($D$8="y",((I99*$D$6*10^6)-(I100*$D$6*10^6))/(I106*24*60),""))),2)</f>
        <v>#VALUE!</v>
      </c>
      <c r="J108" s="95" t="s">
        <v>2</v>
      </c>
      <c r="K108" s="95"/>
      <c r="L108" s="8"/>
      <c r="M108" s="8"/>
      <c r="N108" s="8"/>
      <c r="O108" s="94"/>
    </row>
    <row r="109" spans="2:15" ht="13" x14ac:dyDescent="0.3">
      <c r="B109" s="92"/>
      <c r="C109" s="105" t="s">
        <v>37</v>
      </c>
      <c r="D109" s="11" t="e">
        <f>'Tank#2'!E73</f>
        <v>#DIV/0!</v>
      </c>
      <c r="E109" s="11" t="e">
        <f>ROUND(IF(OR($D$7="c",$D$7="h"),(E99-E100)*PI()*((E96/2)^2)*7.480519/(E107*24*60),IF($D$7="r",(E99-E100)*E96*E97*7.480519/(E107*24*60),IF($D$8="y",((E99*$D$6*10^6)-(E100*$D$6*10^6))/(E107*24*60),""))),2)</f>
        <v>#VALUE!</v>
      </c>
      <c r="F109" s="11" t="e">
        <f>ROUND(IF(OR($D$7="c",$D$7="h"),(F99-F100)*PI()*((F96/2)^2)*7.480519/(F107*24*60),IF($D$7="r",(F99-F100)*F96*F97*7.480519/(F107*24*60),IF($D$8="y",((F99*$D$6*10^6)-(F100*$D$6*10^6))/(F107*24*60),""))),2)</f>
        <v>#VALUE!</v>
      </c>
      <c r="G109" s="11" t="e">
        <f>ROUND(IF(OR($D$7="c",$D$7="h"),(G99-G100)*PI()*((G96/2)^2)*7.480519/(G107*24*60),IF($D$7="r",(G99-G100)*G96*G97*7.480519/(G107*24*60),IF($D$8="y",((G99*$D$6*10^6)-(G100*$D$6*10^6))/(G107*24*60),""))),2)</f>
        <v>#VALUE!</v>
      </c>
      <c r="H109" s="11" t="e">
        <f>ROUND(IF(OR($D$7="c",$D$7="h"),(H99-H100)*PI()*((H96/2)^2)*7.480519/(H107*24*60),IF($D$7="r",(H99-H100)*H96*H97*7.480519/(H107*24*60),IF($D$8="y",((H99*$D$6*10^6)-(H100*$D$6*10^6))/(H107*24*60),""))),2)</f>
        <v>#VALUE!</v>
      </c>
      <c r="I109" s="11" t="e">
        <f>ROUND(IF(OR($D$7="c",$D$7="h"),(I99-I100)*PI()*((I96/2)^2)*7.480519/(I107*24*60),IF($D$7="r",(I99-I100)*I96*I97*7.480519/(I107*24*60),IF($D$8="y",((I99*$D$6*10^6)-(I100*$D$6*10^6))/(I107*24*60),""))),2)</f>
        <v>#VALUE!</v>
      </c>
      <c r="J109" s="95" t="s">
        <v>2</v>
      </c>
      <c r="K109" s="95"/>
      <c r="L109" s="8"/>
      <c r="M109" s="8"/>
      <c r="N109" s="8"/>
      <c r="O109" s="94"/>
    </row>
    <row r="110" spans="2:15" ht="26" x14ac:dyDescent="0.3">
      <c r="B110" s="92"/>
      <c r="C110" s="123" t="s">
        <v>288</v>
      </c>
      <c r="D110" s="11" t="e">
        <f>'Tank#2'!E70</f>
        <v>#DIV/0!</v>
      </c>
      <c r="E110" s="11" t="str">
        <f>IF(OR($D$7="c",$D$7="h"),(E99-E100)*PI()*((E96/2)^2)*7.480519/10^6,IF($D$7="r",(E99-E100)*E96*E97*7.480519/10^6,IF($D$8="y",((E99*$D$6*10^6)-(E100*$D$6*10^6))/10^6,"")))</f>
        <v/>
      </c>
      <c r="F110" s="11" t="str">
        <f>IF(OR($D$7="c",$D$7="h"),(F99-F100)*PI()*((F96/2)^2)*7.480519/10^6,IF($D$7="r",(F99-F100)*F96*F97*7.480519/10^6,IF($D$8="y",((F99*$D$6*10^6)-(F100*$D$6*10^6))/10^6,"")))</f>
        <v/>
      </c>
      <c r="G110" s="11" t="str">
        <f>IF(OR($D$7="c",$D$7="h"),(G99-G100)*PI()*((G96/2)^2)*7.480519/10^6,IF($D$7="r",(G99-G100)*G96*G97*7.480519/10^6,IF($D$8="y",((G99*$D$6*10^6)-(G100*$D$6*10^6))/10^6,"")))</f>
        <v/>
      </c>
      <c r="H110" s="11" t="str">
        <f>IF(OR($D$7="c",$D$7="h"),(H99-H100)*PI()*((H96/2)^2)*7.480519/10^6,IF($D$7="r",(H99-H100)*H96*H97*7.480519/10^6,IF($D$8="y",((H99*$D$6*10^6)-(H100*$D$6*10^6))/10^6,"")))</f>
        <v/>
      </c>
      <c r="I110" s="11" t="str">
        <f>IF(OR($D$7="c",$D$7="h"),(I99-I100)*PI()*((I96/2)^2)*7.480519/10^6,IF($D$7="r",(I99-I100)*I96*I97*7.480519/10^6,IF($D$8="y",((I99*$D$6*10^6)-(I100*$D$6*10^6))/10^6,"")))</f>
        <v/>
      </c>
      <c r="J110" s="95" t="s">
        <v>5</v>
      </c>
      <c r="K110" s="95"/>
      <c r="L110" s="8"/>
      <c r="M110" s="8"/>
      <c r="N110" s="8"/>
      <c r="O110" s="94"/>
    </row>
    <row r="111" spans="2:15" ht="13" x14ac:dyDescent="0.3">
      <c r="B111" s="92"/>
      <c r="C111" s="105" t="s">
        <v>52</v>
      </c>
      <c r="D111" s="11" t="e">
        <f>'Tank#2'!E76</f>
        <v>#DIV/0!</v>
      </c>
      <c r="E111" s="11" t="e">
        <f>E109+E108</f>
        <v>#VALUE!</v>
      </c>
      <c r="F111" s="11" t="e">
        <f>F109+F108</f>
        <v>#VALUE!</v>
      </c>
      <c r="G111" s="11" t="e">
        <f>G109+G108</f>
        <v>#VALUE!</v>
      </c>
      <c r="H111" s="11" t="e">
        <f>H109+H108</f>
        <v>#VALUE!</v>
      </c>
      <c r="I111" s="11" t="e">
        <f>I109+I108</f>
        <v>#VALUE!</v>
      </c>
      <c r="J111" s="95" t="s">
        <v>2</v>
      </c>
      <c r="K111" s="95"/>
      <c r="L111" s="8"/>
      <c r="M111" s="8"/>
      <c r="N111" s="8"/>
      <c r="O111" s="94"/>
    </row>
    <row r="112" spans="2:15" ht="13" x14ac:dyDescent="0.3">
      <c r="B112" s="92"/>
      <c r="C112" s="123" t="s">
        <v>289</v>
      </c>
      <c r="D112" s="11" t="e">
        <f>'Tank#2'!$E$77</f>
        <v>#DIV/0!</v>
      </c>
      <c r="E112" s="32" t="e">
        <f>E110/E111</f>
        <v>#VALUE!</v>
      </c>
      <c r="F112" s="32" t="e">
        <f>F110/F111</f>
        <v>#VALUE!</v>
      </c>
      <c r="G112" s="32" t="e">
        <f>G110/G111</f>
        <v>#VALUE!</v>
      </c>
      <c r="H112" s="32" t="e">
        <f>H110/H111</f>
        <v>#VALUE!</v>
      </c>
      <c r="I112" s="32" t="e">
        <f>I110/I111</f>
        <v>#VALUE!</v>
      </c>
      <c r="J112" s="95" t="s">
        <v>3</v>
      </c>
      <c r="K112" s="95"/>
      <c r="L112" s="8"/>
      <c r="M112" s="8"/>
      <c r="N112" s="8"/>
      <c r="O112" s="94"/>
    </row>
    <row r="113" spans="2:15" ht="13" x14ac:dyDescent="0.3">
      <c r="B113" s="92"/>
      <c r="C113" s="105" t="s">
        <v>44</v>
      </c>
      <c r="D113" s="11" t="e">
        <f>'Tank#2'!$E$78</f>
        <v>#DIV/0!</v>
      </c>
      <c r="E113" s="32" t="str">
        <f>IF(OR($D$7="c",$D$7="h"),((E99+E100)/2)*PI()*((E96/2)^2)*7.480519/10^6,IF($D$7="r",((E99+E100)/2)*E96*E97*7.480519/10^6,IF($D$8="y",(((E99*$D$6*10^6)+(E100*$D$6*10^6))/2)/10^6,"")))</f>
        <v/>
      </c>
      <c r="F113" s="32" t="str">
        <f>IF(OR($D$7="c",$D$7="h"),((F99+F100)/2)*PI()*((F96/2)^2)*7.480519/10^6,IF($D$7="r",((F99+F100)/2)*F96*F97*7.480519/10^6,IF($D$8="y",(((F99*$D$6*10^6)+(F100*$D$6*10^6))/2)/10^6,"")))</f>
        <v/>
      </c>
      <c r="G113" s="32" t="str">
        <f>IF(OR($D$7="c",$D$7="h"),((G99+G100)/2)*PI()*((G96/2)^2)*7.480519/10^6,IF($D$7="r",((G99+G100)/2)*G96*G97*7.480519/10^6,IF($D$8="y",(((G99*$D$6*10^6)+(G100*$D$6*10^6))/2)/10^6,"")))</f>
        <v/>
      </c>
      <c r="H113" s="32" t="str">
        <f>IF(OR($D$7="c",$D$7="h"),((H99+H100)/2)*PI()*((H96/2)^2)*7.480519/10^6,IF($D$7="r",((H99+H100)/2)*H96*H97*7.480519/10^6,IF($D$8="y",(((H99*$D$6*10^6)+(H100*$D$6*10^6))/2)/10^6,"")))</f>
        <v/>
      </c>
      <c r="I113" s="32" t="str">
        <f>IF(OR($D$7="c",$D$7="h"),((I99+I100)/2)*PI()*((I96/2)^2)*7.480519/10^6,IF($D$7="r",((I99+I100)/2)*I96*I97*7.480519/10^6,IF($D$8="y",(((I99*$D$6*10^6)+(I100*$D$6*10^6))/2)/10^6,"")))</f>
        <v/>
      </c>
      <c r="J113" s="95" t="s">
        <v>5</v>
      </c>
      <c r="K113" s="95"/>
      <c r="L113" s="8"/>
      <c r="M113" s="8"/>
      <c r="N113" s="8"/>
      <c r="O113" s="94"/>
    </row>
    <row r="114" spans="2:15" ht="26" x14ac:dyDescent="0.3">
      <c r="B114" s="92"/>
      <c r="C114" s="137" t="s">
        <v>57</v>
      </c>
      <c r="D114" s="138" t="e">
        <f>'Tank#2'!J75</f>
        <v>#DIV/0!</v>
      </c>
      <c r="E114" s="139" t="e">
        <f>E102/E104</f>
        <v>#VALUE!</v>
      </c>
      <c r="F114" s="139" t="e">
        <f>F102/F104</f>
        <v>#VALUE!</v>
      </c>
      <c r="G114" s="139" t="e">
        <f>G102/G104</f>
        <v>#VALUE!</v>
      </c>
      <c r="H114" s="139" t="e">
        <f>H102/H104</f>
        <v>#VALUE!</v>
      </c>
      <c r="I114" s="139" t="e">
        <f>I102/I104</f>
        <v>#VALUE!</v>
      </c>
      <c r="J114" s="95"/>
      <c r="K114" s="95"/>
      <c r="L114" s="8"/>
      <c r="M114" s="8"/>
      <c r="N114" s="8"/>
      <c r="O114" s="94"/>
    </row>
    <row r="115" spans="2:15" ht="13" x14ac:dyDescent="0.3">
      <c r="B115" s="92"/>
      <c r="C115" s="137" t="s">
        <v>8</v>
      </c>
      <c r="D115" s="140" t="e">
        <f>'Tank#2'!$E$79</f>
        <v>#DIV/0!</v>
      </c>
      <c r="E115" s="140" t="e">
        <f>E113/E112</f>
        <v>#VALUE!</v>
      </c>
      <c r="F115" s="140" t="e">
        <f>F113/F112</f>
        <v>#VALUE!</v>
      </c>
      <c r="G115" s="140" t="e">
        <f>G113/G112</f>
        <v>#VALUE!</v>
      </c>
      <c r="H115" s="140" t="e">
        <f>H113/H112</f>
        <v>#VALUE!</v>
      </c>
      <c r="I115" s="140" t="e">
        <f>I113/I112</f>
        <v>#VALUE!</v>
      </c>
      <c r="J115" s="95" t="s">
        <v>2</v>
      </c>
      <c r="K115" s="95"/>
      <c r="L115" s="8"/>
      <c r="M115" s="8"/>
      <c r="N115" s="8"/>
      <c r="O115" s="94"/>
    </row>
    <row r="116" spans="2:15" ht="13.5" thickBot="1" x14ac:dyDescent="0.35">
      <c r="B116" s="101"/>
      <c r="C116" s="102"/>
      <c r="D116" s="102"/>
      <c r="E116" s="102"/>
      <c r="F116" s="102"/>
      <c r="G116" s="106"/>
      <c r="H116" s="106"/>
      <c r="I116" s="107"/>
      <c r="J116" s="102"/>
      <c r="K116" s="102"/>
      <c r="L116" s="102"/>
      <c r="M116" s="102"/>
      <c r="N116" s="102"/>
      <c r="O116" s="103"/>
    </row>
    <row r="117" spans="2:15" ht="18.5" hidden="1" thickBot="1" x14ac:dyDescent="0.45">
      <c r="B117" s="116" t="s">
        <v>191</v>
      </c>
      <c r="C117" s="111"/>
      <c r="D117" s="120"/>
      <c r="E117" s="111"/>
      <c r="F117" s="111"/>
      <c r="G117" s="111"/>
      <c r="H117" s="111"/>
      <c r="I117" s="111"/>
      <c r="J117" s="111"/>
      <c r="K117" s="111"/>
      <c r="L117" s="118"/>
      <c r="M117" s="118"/>
      <c r="N117" s="118"/>
      <c r="O117" s="119"/>
    </row>
    <row r="118" spans="2:15" hidden="1" x14ac:dyDescent="0.25">
      <c r="B118" s="149"/>
      <c r="C118" s="104"/>
      <c r="D118" s="104"/>
      <c r="E118" s="104"/>
      <c r="F118" s="104"/>
      <c r="G118" s="104"/>
      <c r="H118" s="104"/>
      <c r="I118" s="104"/>
      <c r="J118" s="104"/>
      <c r="K118" s="104"/>
      <c r="L118" s="90"/>
      <c r="M118" s="90"/>
      <c r="N118" s="90"/>
      <c r="O118" s="91"/>
    </row>
    <row r="119" spans="2:15" ht="13" hidden="1" x14ac:dyDescent="0.3">
      <c r="B119" s="92"/>
      <c r="C119" s="95" t="s">
        <v>86</v>
      </c>
      <c r="D119" s="29"/>
      <c r="E119" s="29"/>
      <c r="F119" s="29"/>
      <c r="G119" s="29"/>
      <c r="H119" s="29"/>
      <c r="I119" s="29"/>
      <c r="J119" s="29"/>
      <c r="K119" s="29"/>
      <c r="L119" s="8"/>
      <c r="M119" s="8"/>
      <c r="N119" s="8"/>
      <c r="O119" s="94"/>
    </row>
    <row r="120" spans="2:15" ht="13" hidden="1" x14ac:dyDescent="0.3">
      <c r="B120" s="92"/>
      <c r="C120" s="95" t="s">
        <v>88</v>
      </c>
      <c r="D120" s="29"/>
      <c r="E120" s="29"/>
      <c r="F120" s="29"/>
      <c r="G120" s="29"/>
      <c r="H120" s="29"/>
      <c r="I120" s="29"/>
      <c r="J120" s="29"/>
      <c r="K120" s="29"/>
      <c r="L120" s="8"/>
      <c r="M120" s="8"/>
      <c r="N120" s="8"/>
      <c r="O120" s="94"/>
    </row>
    <row r="121" spans="2:15" ht="13" hidden="1" x14ac:dyDescent="0.3">
      <c r="B121" s="92"/>
      <c r="C121" s="95" t="s">
        <v>89</v>
      </c>
      <c r="D121" s="29"/>
      <c r="E121" s="29"/>
      <c r="F121" s="29"/>
      <c r="G121" s="29"/>
      <c r="H121" s="29"/>
      <c r="I121" s="29"/>
      <c r="J121" s="29"/>
      <c r="K121" s="29"/>
      <c r="L121" s="8"/>
      <c r="M121" s="8"/>
      <c r="N121" s="8"/>
      <c r="O121" s="94"/>
    </row>
    <row r="122" spans="2:15" ht="13" hidden="1" x14ac:dyDescent="0.3">
      <c r="B122" s="92"/>
      <c r="C122" s="95" t="s">
        <v>90</v>
      </c>
      <c r="D122" s="29"/>
      <c r="E122" s="29"/>
      <c r="F122" s="29"/>
      <c r="G122" s="29"/>
      <c r="H122" s="29"/>
      <c r="I122" s="29"/>
      <c r="J122" s="29"/>
      <c r="K122" s="29"/>
      <c r="L122" s="8"/>
      <c r="M122" s="8"/>
      <c r="N122" s="8"/>
      <c r="O122" s="94"/>
    </row>
    <row r="123" spans="2:15" ht="13" hidden="1" x14ac:dyDescent="0.3">
      <c r="B123" s="92"/>
      <c r="C123" s="113"/>
      <c r="D123" s="29"/>
      <c r="E123" s="29"/>
      <c r="F123" s="29"/>
      <c r="G123" s="29"/>
      <c r="H123" s="29"/>
      <c r="I123" s="29"/>
      <c r="J123" s="29"/>
      <c r="K123" s="29"/>
      <c r="L123" s="8"/>
      <c r="M123" s="8"/>
      <c r="N123" s="8"/>
      <c r="O123" s="94"/>
    </row>
    <row r="124" spans="2:15" ht="39" hidden="1" x14ac:dyDescent="0.3">
      <c r="B124" s="92"/>
      <c r="C124" s="29"/>
      <c r="D124" s="133" t="s">
        <v>79</v>
      </c>
      <c r="E124" s="81" t="s">
        <v>45</v>
      </c>
      <c r="F124" s="81" t="s">
        <v>46</v>
      </c>
      <c r="G124" s="81" t="s">
        <v>47</v>
      </c>
      <c r="H124" s="81" t="s">
        <v>48</v>
      </c>
      <c r="I124" s="81" t="s">
        <v>49</v>
      </c>
      <c r="J124" s="29"/>
      <c r="K124" s="29"/>
      <c r="L124" s="8"/>
      <c r="M124" s="8"/>
      <c r="N124" s="8"/>
      <c r="O124" s="94"/>
    </row>
    <row r="125" spans="2:15" ht="13" hidden="1" x14ac:dyDescent="0.3">
      <c r="B125" s="92"/>
      <c r="C125" s="123" t="str">
        <f>IF(D49="y","Fraction Full (Max Level)","High/Max Level")</f>
        <v>High/Max Level</v>
      </c>
      <c r="D125" s="132" t="b">
        <f>IF(OR($D$7="c",$D$7="r",D7="h"),(SUM(E53:E67)/COUNTIF(E53:E67,"&gt;0")),IF($D$8="y",(SUM(E53:E67)/COUNTIF(E53:E67,"&gt;0"))/($D$6*10^6)))</f>
        <v>0</v>
      </c>
      <c r="E125" s="135">
        <f t="shared" ref="E125:I126" si="11">E99</f>
        <v>0</v>
      </c>
      <c r="F125" s="135">
        <f t="shared" si="11"/>
        <v>0</v>
      </c>
      <c r="G125" s="135">
        <f t="shared" si="11"/>
        <v>0</v>
      </c>
      <c r="H125" s="135">
        <f t="shared" si="11"/>
        <v>0</v>
      </c>
      <c r="I125" s="135">
        <f t="shared" si="11"/>
        <v>0</v>
      </c>
      <c r="J125" s="95" t="str">
        <f>IF(D49="y","","ft")</f>
        <v>ft</v>
      </c>
      <c r="K125" s="95"/>
      <c r="L125" s="8"/>
      <c r="M125" s="8"/>
      <c r="N125" s="8"/>
      <c r="O125" s="94"/>
    </row>
    <row r="126" spans="2:15" ht="13" hidden="1" x14ac:dyDescent="0.3">
      <c r="B126" s="92"/>
      <c r="C126" s="123" t="str">
        <f>IF(D49="y","Fraction Full (Min Level)","Low/Min Level")</f>
        <v>Low/Min Level</v>
      </c>
      <c r="D126" s="132" t="b">
        <f>IF(OR($D$7="c",$D$7="r",D7="h"),(SUM(D53:D67)/COUNTIF(D53:D67,"&gt;0")),IF($D$8="y",(SUM(D53:D67)/COUNTIF(D53:D67,"&gt;0"))/($D$6*10^6)))</f>
        <v>0</v>
      </c>
      <c r="E126" s="135">
        <f t="shared" si="11"/>
        <v>0</v>
      </c>
      <c r="F126" s="135">
        <f t="shared" si="11"/>
        <v>0</v>
      </c>
      <c r="G126" s="135">
        <f t="shared" si="11"/>
        <v>0</v>
      </c>
      <c r="H126" s="135">
        <f t="shared" si="11"/>
        <v>0</v>
      </c>
      <c r="I126" s="135">
        <f t="shared" si="11"/>
        <v>0</v>
      </c>
      <c r="J126" s="95" t="str">
        <f>IF(D49="y","","ft")</f>
        <v>ft</v>
      </c>
      <c r="K126" s="95"/>
      <c r="L126" s="8"/>
      <c r="M126" s="8"/>
      <c r="N126" s="8"/>
      <c r="O126" s="94"/>
    </row>
    <row r="127" spans="2:15" ht="24.75" hidden="1" customHeight="1" x14ac:dyDescent="0.3">
      <c r="B127" s="92"/>
      <c r="C127" s="137" t="s">
        <v>87</v>
      </c>
      <c r="D127" s="141" t="e">
        <f>D114</f>
        <v>#DIV/0!</v>
      </c>
      <c r="E127" s="141" t="e">
        <f t="shared" ref="E127:I128" si="12">E114</f>
        <v>#VALUE!</v>
      </c>
      <c r="F127" s="141" t="e">
        <f t="shared" si="12"/>
        <v>#VALUE!</v>
      </c>
      <c r="G127" s="141" t="e">
        <f t="shared" si="12"/>
        <v>#VALUE!</v>
      </c>
      <c r="H127" s="141" t="e">
        <f t="shared" si="12"/>
        <v>#VALUE!</v>
      </c>
      <c r="I127" s="141" t="e">
        <f t="shared" si="12"/>
        <v>#VALUE!</v>
      </c>
      <c r="J127" s="95"/>
      <c r="K127" s="95"/>
      <c r="L127" s="8"/>
      <c r="M127" s="8"/>
      <c r="N127" s="8"/>
      <c r="O127" s="94"/>
    </row>
    <row r="128" spans="2:15" ht="13" hidden="1" x14ac:dyDescent="0.3">
      <c r="B128" s="92"/>
      <c r="C128" s="137" t="s">
        <v>8</v>
      </c>
      <c r="D128" s="142" t="e">
        <f>D115</f>
        <v>#DIV/0!</v>
      </c>
      <c r="E128" s="140" t="e">
        <f t="shared" si="12"/>
        <v>#VALUE!</v>
      </c>
      <c r="F128" s="140" t="e">
        <f t="shared" si="12"/>
        <v>#VALUE!</v>
      </c>
      <c r="G128" s="140" t="e">
        <f t="shared" si="12"/>
        <v>#VALUE!</v>
      </c>
      <c r="H128" s="140" t="e">
        <f t="shared" si="12"/>
        <v>#VALUE!</v>
      </c>
      <c r="I128" s="140" t="e">
        <f t="shared" si="12"/>
        <v>#VALUE!</v>
      </c>
      <c r="J128" s="95" t="s">
        <v>2</v>
      </c>
      <c r="K128" s="95"/>
      <c r="L128" s="8"/>
      <c r="M128" s="8"/>
      <c r="N128" s="8"/>
      <c r="O128" s="94"/>
    </row>
    <row r="129" spans="2:15" ht="39" hidden="1" x14ac:dyDescent="0.3">
      <c r="B129" s="92"/>
      <c r="C129" s="161" t="s">
        <v>84</v>
      </c>
      <c r="D129" s="146">
        <v>0.14929999999999999</v>
      </c>
      <c r="E129" s="162">
        <f>D129</f>
        <v>0.14929999999999999</v>
      </c>
      <c r="F129" s="162">
        <f>D129</f>
        <v>0.14929999999999999</v>
      </c>
      <c r="G129" s="162">
        <f>D129</f>
        <v>0.14929999999999999</v>
      </c>
      <c r="H129" s="162">
        <f>D129</f>
        <v>0.14929999999999999</v>
      </c>
      <c r="I129" s="162">
        <f>D129</f>
        <v>0.14929999999999999</v>
      </c>
      <c r="J129" s="95" t="s">
        <v>76</v>
      </c>
      <c r="K129" s="95"/>
      <c r="L129" s="8"/>
      <c r="M129" s="8"/>
      <c r="N129" s="8"/>
      <c r="O129" s="94"/>
    </row>
    <row r="130" spans="2:15" ht="26" hidden="1" x14ac:dyDescent="0.3">
      <c r="B130" s="92"/>
      <c r="C130" s="123" t="s">
        <v>80</v>
      </c>
      <c r="D130" s="124" t="e">
        <f>SUM(F53:F67)/COUNTIF(F53:F67,"&gt;0")</f>
        <v>#DIV/0!</v>
      </c>
      <c r="E130" s="124" t="str">
        <f>IF(OR($D$7="c",$D$7="h"),(E100)*PI()*($D$10/2)^2*7.48/10^6,IF($D$7="r",E100*$D$10*$D$11*7.48/10^6,IF($D$8="y",E100/10^6,"error")))</f>
        <v>error</v>
      </c>
      <c r="F130" s="124" t="str">
        <f>IF(OR($D$7="c",$D$7="h"),(F100)*PI()*($D$10/2)^2*7.48/10^6,IF($D$7="r",F100*$D$10*$D$11*7.48/10^6,IF($D$8="y",F100/10^6,"error")))</f>
        <v>error</v>
      </c>
      <c r="G130" s="124" t="str">
        <f>IF(OR($D$7="c",$D$7="h"),(G100)*PI()*($D$10/2)^2*7.48/10^6,IF($D$7="r",G100*$D$10*$D$11*7.48/10^6,IF($D$8="y",G100/10^6,"error")))</f>
        <v>error</v>
      </c>
      <c r="H130" s="124" t="str">
        <f>IF(OR($D$7="c",$D$7="h"),(H100)*PI()*($D$10/2)^2*7.48/10^6,IF($D$7="r",H100*$D$10*$D$11*7.48/10^6,IF($D$8="y",H100/10^6,"error")))</f>
        <v>error</v>
      </c>
      <c r="I130" s="124" t="str">
        <f>IF(OR($D$7="c",$D$7="h"),(I100)*PI()*($D$10/2)^2*7.48/10^6,IF($D$7="r",I100*$D$10*$D$11*7.48/10^6,IF($D$8="y",I100/10^6,"error")))</f>
        <v>error</v>
      </c>
      <c r="J130" s="95" t="s">
        <v>5</v>
      </c>
      <c r="K130" s="95"/>
      <c r="L130" s="8"/>
      <c r="M130" s="8"/>
      <c r="N130" s="8"/>
      <c r="O130" s="94"/>
    </row>
    <row r="131" spans="2:15" ht="39" hidden="1" x14ac:dyDescent="0.3">
      <c r="B131" s="92"/>
      <c r="C131" s="125" t="s">
        <v>81</v>
      </c>
      <c r="D131" s="124" t="e">
        <f>SUM(F53:F67)/COUNTIF(F53:F67,"&gt;0")+SUM(G53:G67)/COUNTIF(G53:G67,"&gt;0")</f>
        <v>#DIV/0!</v>
      </c>
      <c r="E131" s="11" t="str">
        <f>IF(OR($D$7="c",$D$7="h"),(E99)*PI()*($D$10/2)^2*7.48/10^6,IF($D$7="r",E99*$D$10*$D$11*7.48/10^6,IF($D$8="y",E99/10^6,"error")))</f>
        <v>error</v>
      </c>
      <c r="F131" s="11" t="str">
        <f>IF(OR($D$7="c",$D$7="h"),(F99)*PI()*($D$10/2)^2*7.48/10^6,IF($D$7="r",F99*$D$10*$D$11*7.48/10^6,IF($D$8="y",F99/10^6,"error")))</f>
        <v>error</v>
      </c>
      <c r="G131" s="11" t="str">
        <f>IF(OR($D$7="c",$D$7="h"),(G99)*PI()*($D$10/2)^2*7.48/10^6,IF($D$7="r",G99*$D$10*$D$11*7.48/10^6,IF($D$8="y",G99/10^6,"error")))</f>
        <v>error</v>
      </c>
      <c r="H131" s="11" t="str">
        <f>IF(OR($D$7="c",$D$7="h"),(H99)*PI()*($D$10/2)^2*7.48/10^6,IF($D$7="r",H99*$D$10*$D$11*7.48/10^6,IF($D$8="y",H99/10^6,"error")))</f>
        <v>error</v>
      </c>
      <c r="I131" s="11" t="str">
        <f>IF(OR($D$7="c",$D$7="h"),(I99)*PI()*($D$10/2)^2*7.48/10^6,IF($D$7="r",I99*$D$10*$D$11*7.48/10^6,IF($D$8="y",I99/10^6,"error")))</f>
        <v>error</v>
      </c>
      <c r="J131" s="95" t="s">
        <v>5</v>
      </c>
      <c r="K131" s="95"/>
      <c r="L131" s="8"/>
      <c r="M131" s="8"/>
      <c r="N131" s="8"/>
      <c r="O131" s="94"/>
    </row>
    <row r="132" spans="2:15" ht="13" hidden="1" x14ac:dyDescent="0.3">
      <c r="B132" s="92"/>
      <c r="C132" s="123" t="s">
        <v>83</v>
      </c>
      <c r="D132" s="124" t="e">
        <f t="shared" ref="D132:I133" si="13">D108</f>
        <v>#DIV/0!</v>
      </c>
      <c r="E132" s="124" t="e">
        <f t="shared" si="13"/>
        <v>#VALUE!</v>
      </c>
      <c r="F132" s="124" t="e">
        <f t="shared" si="13"/>
        <v>#VALUE!</v>
      </c>
      <c r="G132" s="124" t="e">
        <f t="shared" si="13"/>
        <v>#VALUE!</v>
      </c>
      <c r="H132" s="124" t="e">
        <f t="shared" si="13"/>
        <v>#VALUE!</v>
      </c>
      <c r="I132" s="124" t="e">
        <f t="shared" si="13"/>
        <v>#VALUE!</v>
      </c>
      <c r="J132" s="95" t="s">
        <v>2</v>
      </c>
      <c r="K132" s="95"/>
      <c r="L132" s="8"/>
      <c r="M132" s="8"/>
      <c r="N132" s="8"/>
      <c r="O132" s="94"/>
    </row>
    <row r="133" spans="2:15" ht="13" hidden="1" x14ac:dyDescent="0.3">
      <c r="B133" s="92"/>
      <c r="C133" s="123" t="s">
        <v>82</v>
      </c>
      <c r="D133" s="132" t="e">
        <f t="shared" si="13"/>
        <v>#DIV/0!</v>
      </c>
      <c r="E133" s="132" t="e">
        <f t="shared" si="13"/>
        <v>#VALUE!</v>
      </c>
      <c r="F133" s="132" t="e">
        <f t="shared" si="13"/>
        <v>#VALUE!</v>
      </c>
      <c r="G133" s="132" t="e">
        <f t="shared" si="13"/>
        <v>#VALUE!</v>
      </c>
      <c r="H133" s="132" t="e">
        <f t="shared" si="13"/>
        <v>#VALUE!</v>
      </c>
      <c r="I133" s="132" t="e">
        <f t="shared" si="13"/>
        <v>#VALUE!</v>
      </c>
      <c r="J133" s="95" t="s">
        <v>2</v>
      </c>
      <c r="K133" s="95"/>
      <c r="L133" s="8"/>
      <c r="M133" s="8"/>
      <c r="N133" s="8"/>
      <c r="O133" s="94"/>
    </row>
    <row r="134" spans="2:15" ht="39" hidden="1" x14ac:dyDescent="0.3">
      <c r="B134" s="92"/>
      <c r="C134" s="123" t="s">
        <v>91</v>
      </c>
      <c r="D134" s="144" t="e">
        <f t="shared" ref="D134:I134" si="14">(D130/(D131-D130))*(D133+D132)+D133+D132*(1-((D130/(D131-D130))-ROUNDDOWN((D130/(D131-D130)),0)))</f>
        <v>#DIV/0!</v>
      </c>
      <c r="E134" s="144" t="e">
        <f t="shared" si="14"/>
        <v>#VALUE!</v>
      </c>
      <c r="F134" s="144" t="e">
        <f t="shared" si="14"/>
        <v>#VALUE!</v>
      </c>
      <c r="G134" s="144" t="e">
        <f t="shared" si="14"/>
        <v>#VALUE!</v>
      </c>
      <c r="H134" s="144" t="e">
        <f t="shared" si="14"/>
        <v>#VALUE!</v>
      </c>
      <c r="I134" s="144" t="e">
        <f t="shared" si="14"/>
        <v>#VALUE!</v>
      </c>
      <c r="J134" s="95" t="s">
        <v>2</v>
      </c>
      <c r="K134" s="95"/>
      <c r="L134" s="8"/>
      <c r="M134" s="8"/>
      <c r="N134" s="8"/>
      <c r="O134" s="94"/>
    </row>
    <row r="135" spans="2:15" ht="40.5" hidden="1" customHeight="1" x14ac:dyDescent="0.3">
      <c r="B135" s="92"/>
      <c r="C135" s="161" t="s">
        <v>85</v>
      </c>
      <c r="D135" s="146">
        <v>1.57</v>
      </c>
      <c r="E135" s="163">
        <f>D135</f>
        <v>1.57</v>
      </c>
      <c r="F135" s="163">
        <f>D135</f>
        <v>1.57</v>
      </c>
      <c r="G135" s="163">
        <f>D135</f>
        <v>1.57</v>
      </c>
      <c r="H135" s="163">
        <f>D135</f>
        <v>1.57</v>
      </c>
      <c r="I135" s="163">
        <f>D135</f>
        <v>1.57</v>
      </c>
      <c r="J135" s="95" t="s">
        <v>78</v>
      </c>
      <c r="K135" s="95"/>
      <c r="L135" s="8"/>
      <c r="M135" s="8"/>
      <c r="N135" s="8"/>
      <c r="O135" s="94"/>
    </row>
    <row r="136" spans="2:15" ht="41" hidden="1" x14ac:dyDescent="0.3">
      <c r="B136" s="92"/>
      <c r="C136" s="143" t="s">
        <v>109</v>
      </c>
      <c r="D136" s="145" t="e">
        <f t="shared" ref="D136:I136" si="15">((EXP(-D129*D133)-EXP(-D129*(D132+D133)))*D135)/(D129*D132*(1+(D130/(D131-D130))*(1-EXP(-D129*(D132+D133)))))</f>
        <v>#DIV/0!</v>
      </c>
      <c r="E136" s="145" t="e">
        <f t="shared" si="15"/>
        <v>#VALUE!</v>
      </c>
      <c r="F136" s="145" t="e">
        <f t="shared" si="15"/>
        <v>#VALUE!</v>
      </c>
      <c r="G136" s="145" t="e">
        <f t="shared" si="15"/>
        <v>#VALUE!</v>
      </c>
      <c r="H136" s="145" t="e">
        <f t="shared" si="15"/>
        <v>#VALUE!</v>
      </c>
      <c r="I136" s="145" t="e">
        <f t="shared" si="15"/>
        <v>#VALUE!</v>
      </c>
      <c r="J136" s="95" t="s">
        <v>78</v>
      </c>
      <c r="K136" s="95"/>
      <c r="L136" s="8"/>
      <c r="M136" s="8"/>
      <c r="N136" s="8"/>
      <c r="O136" s="94"/>
    </row>
    <row r="137" spans="2:15" ht="41" hidden="1" x14ac:dyDescent="0.3">
      <c r="B137" s="92"/>
      <c r="C137" s="143" t="s">
        <v>108</v>
      </c>
      <c r="D137" s="145" t="e">
        <f t="shared" ref="D137:I137" si="16">D135*EXP(-D129*D134)</f>
        <v>#DIV/0!</v>
      </c>
      <c r="E137" s="145" t="e">
        <f t="shared" si="16"/>
        <v>#VALUE!</v>
      </c>
      <c r="F137" s="145" t="e">
        <f t="shared" si="16"/>
        <v>#VALUE!</v>
      </c>
      <c r="G137" s="145" t="e">
        <f t="shared" si="16"/>
        <v>#VALUE!</v>
      </c>
      <c r="H137" s="145" t="e">
        <f t="shared" si="16"/>
        <v>#VALUE!</v>
      </c>
      <c r="I137" s="145" t="e">
        <f t="shared" si="16"/>
        <v>#VALUE!</v>
      </c>
      <c r="J137" s="95" t="s">
        <v>78</v>
      </c>
      <c r="K137" s="95"/>
      <c r="L137" s="8"/>
      <c r="M137" s="8"/>
      <c r="N137" s="8"/>
      <c r="O137" s="94"/>
    </row>
    <row r="138" spans="2:15" hidden="1" x14ac:dyDescent="0.25">
      <c r="B138" s="92"/>
      <c r="C138" s="8" t="s">
        <v>110</v>
      </c>
      <c r="D138" s="8"/>
      <c r="E138" s="8"/>
      <c r="F138" s="8"/>
      <c r="G138" s="8"/>
      <c r="H138" s="8"/>
      <c r="I138" s="8"/>
      <c r="J138" s="8"/>
      <c r="K138" s="8"/>
      <c r="L138" s="8"/>
      <c r="M138" s="8"/>
      <c r="N138" s="8"/>
      <c r="O138" s="94"/>
    </row>
    <row r="139" spans="2:15" hidden="1" x14ac:dyDescent="0.25">
      <c r="B139" s="92"/>
      <c r="C139" s="424" t="s">
        <v>228</v>
      </c>
      <c r="D139" s="422"/>
      <c r="E139" s="422"/>
      <c r="F139" s="422"/>
      <c r="G139" s="422"/>
      <c r="H139" s="422"/>
      <c r="I139" s="422"/>
      <c r="J139" s="8"/>
      <c r="K139" s="8"/>
      <c r="L139" s="8"/>
      <c r="M139" s="8"/>
      <c r="N139" s="8"/>
      <c r="O139" s="94"/>
    </row>
    <row r="140" spans="2:15" hidden="1" x14ac:dyDescent="0.25">
      <c r="B140" s="92"/>
      <c r="C140" s="424" t="s">
        <v>229</v>
      </c>
      <c r="D140" s="422"/>
      <c r="E140" s="422"/>
      <c r="F140" s="422"/>
      <c r="G140" s="422"/>
      <c r="H140" s="422"/>
      <c r="I140" s="422"/>
      <c r="J140" s="8"/>
      <c r="K140" s="8"/>
      <c r="L140" s="8"/>
      <c r="M140" s="8"/>
      <c r="N140" s="8"/>
      <c r="O140" s="94"/>
    </row>
    <row r="141" spans="2:15" hidden="1" x14ac:dyDescent="0.25">
      <c r="B141" s="92"/>
      <c r="C141" s="424" t="s">
        <v>230</v>
      </c>
      <c r="D141" s="422"/>
      <c r="E141" s="422"/>
      <c r="F141" s="422"/>
      <c r="G141" s="422"/>
      <c r="H141" s="422"/>
      <c r="I141" s="422"/>
      <c r="J141" s="8"/>
      <c r="K141" s="8"/>
      <c r="L141" s="8"/>
      <c r="M141" s="8"/>
      <c r="N141" s="8"/>
      <c r="O141" s="94"/>
    </row>
    <row r="142" spans="2:15" hidden="1" x14ac:dyDescent="0.25">
      <c r="B142" s="92"/>
      <c r="C142" s="422" t="s">
        <v>231</v>
      </c>
      <c r="D142" s="422"/>
      <c r="E142" s="422"/>
      <c r="F142" s="422"/>
      <c r="G142" s="422"/>
      <c r="H142" s="422"/>
      <c r="I142" s="422"/>
      <c r="J142" s="8"/>
      <c r="K142" s="8"/>
      <c r="L142" s="8"/>
      <c r="M142" s="8"/>
      <c r="N142" s="8"/>
      <c r="O142" s="94"/>
    </row>
    <row r="143" spans="2:15" ht="26.25" hidden="1" customHeight="1" thickBot="1" x14ac:dyDescent="0.3">
      <c r="B143" s="101"/>
      <c r="C143" s="423"/>
      <c r="D143" s="423"/>
      <c r="E143" s="423"/>
      <c r="F143" s="423"/>
      <c r="G143" s="423"/>
      <c r="H143" s="423"/>
      <c r="I143" s="423"/>
      <c r="J143" s="102"/>
      <c r="K143" s="102"/>
      <c r="L143" s="102"/>
      <c r="M143" s="102"/>
      <c r="N143" s="102"/>
      <c r="O143" s="103"/>
    </row>
  </sheetData>
  <mergeCells count="4">
    <mergeCell ref="E11:F12"/>
    <mergeCell ref="H74:I74"/>
    <mergeCell ref="I77:L80"/>
    <mergeCell ref="D80:F83"/>
  </mergeCells>
  <conditionalFormatting sqref="D114:I114">
    <cfRule type="cellIs" dxfId="63" priority="7" stopIfTrue="1" operator="greaterThanOrEqual">
      <formula>1</formula>
    </cfRule>
    <cfRule type="cellIs" dxfId="62" priority="8" stopIfTrue="1" operator="lessThan">
      <formula>1</formula>
    </cfRule>
  </conditionalFormatting>
  <conditionalFormatting sqref="D115:I115">
    <cfRule type="cellIs" dxfId="61" priority="5" stopIfTrue="1" operator="greaterThan">
      <formula>5</formula>
    </cfRule>
    <cfRule type="cellIs" dxfId="60" priority="6" stopIfTrue="1" operator="lessThanOrEqual">
      <formula>5</formula>
    </cfRule>
  </conditionalFormatting>
  <conditionalFormatting sqref="E79">
    <cfRule type="cellIs" dxfId="59" priority="3" stopIfTrue="1" operator="lessThanOrEqual">
      <formula>5</formula>
    </cfRule>
    <cfRule type="cellIs" dxfId="58" priority="4" stopIfTrue="1" operator="greaterThan">
      <formula>5</formula>
    </cfRule>
  </conditionalFormatting>
  <conditionalFormatting sqref="J75">
    <cfRule type="cellIs" dxfId="57" priority="1" stopIfTrue="1" operator="greaterThanOrEqual">
      <formula>1</formula>
    </cfRule>
    <cfRule type="cellIs" dxfId="56" priority="2" stopIfTrue="1" operator="lessThan">
      <formula>1</formula>
    </cfRule>
  </conditionalFormatting>
  <pageMargins left="0.75" right="0.75" top="1" bottom="1" header="0.5" footer="0.5"/>
  <pageSetup scale="63" fitToHeight="4" orientation="landscape" r:id="rId1"/>
  <headerFooter alignWithMargins="0"/>
  <rowBreaks count="2" manualBreakCount="2">
    <brk id="48" max="16383" man="1"/>
    <brk id="84"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E8424-FF60-4470-B333-E2607C328980}">
  <dimension ref="A1:T143"/>
  <sheetViews>
    <sheetView showGridLines="0" topLeftCell="A58" zoomScale="80" zoomScaleNormal="80" workbookViewId="0">
      <selection activeCell="I77" sqref="I77:L80"/>
    </sheetView>
  </sheetViews>
  <sheetFormatPr defaultColWidth="9.1796875" defaultRowHeight="12.5" x14ac:dyDescent="0.25"/>
  <cols>
    <col min="1" max="2" width="1.54296875" style="1" customWidth="1"/>
    <col min="3" max="3" width="26" style="1" customWidth="1"/>
    <col min="4" max="4" width="17.81640625" style="1" customWidth="1"/>
    <col min="5" max="6" width="20.81640625" style="1" customWidth="1"/>
    <col min="7" max="7" width="17.81640625" style="1" customWidth="1"/>
    <col min="8" max="9" width="23.81640625" style="1" customWidth="1"/>
    <col min="10" max="10" width="16.453125" style="1" customWidth="1"/>
    <col min="11" max="11" width="12.81640625" style="1" customWidth="1"/>
    <col min="12" max="12" width="16.1796875" style="1" customWidth="1"/>
    <col min="13" max="13" width="9.1796875" style="1"/>
    <col min="14" max="14" width="9.81640625" style="1" customWidth="1"/>
    <col min="15" max="17" width="9.1796875" style="1"/>
    <col min="18" max="18" width="9.1796875" style="485" customWidth="1"/>
    <col min="19" max="16384" width="9.1796875" style="1"/>
  </cols>
  <sheetData>
    <row r="1" spans="2:20" ht="13" thickBot="1" x14ac:dyDescent="0.3"/>
    <row r="2" spans="2:20" ht="20.25" customHeight="1" thickBot="1" x14ac:dyDescent="0.3">
      <c r="B2" s="425" t="s">
        <v>297</v>
      </c>
      <c r="C2" s="426"/>
      <c r="D2" s="426"/>
      <c r="E2" s="426"/>
      <c r="F2" s="426"/>
      <c r="G2" s="426"/>
      <c r="H2" s="426"/>
      <c r="I2" s="426"/>
      <c r="J2" s="426"/>
      <c r="K2" s="426"/>
      <c r="L2" s="426"/>
      <c r="M2" s="426"/>
      <c r="N2" s="426"/>
      <c r="O2" s="427"/>
    </row>
    <row r="3" spans="2:20" ht="18.5" thickBot="1" x14ac:dyDescent="0.45">
      <c r="B3" s="116" t="s">
        <v>187</v>
      </c>
      <c r="C3" s="117"/>
      <c r="D3" s="118"/>
      <c r="E3" s="117"/>
      <c r="F3" s="118"/>
      <c r="G3" s="118"/>
      <c r="H3" s="118"/>
      <c r="I3" s="118"/>
      <c r="J3" s="118"/>
      <c r="K3" s="118"/>
      <c r="L3" s="118"/>
      <c r="M3" s="118"/>
      <c r="N3" s="118"/>
      <c r="O3" s="119"/>
    </row>
    <row r="4" spans="2:20" ht="16" customHeight="1" x14ac:dyDescent="0.3">
      <c r="B4" s="149"/>
      <c r="C4" s="329"/>
      <c r="D4" s="90"/>
      <c r="E4" s="90"/>
      <c r="F4" s="90"/>
      <c r="G4" s="90"/>
      <c r="H4" s="90"/>
      <c r="I4" s="90"/>
      <c r="J4" s="90"/>
      <c r="K4" s="90"/>
      <c r="L4" s="90"/>
      <c r="M4" s="90"/>
      <c r="N4" s="90"/>
      <c r="O4" s="91"/>
    </row>
    <row r="5" spans="2:20" ht="16" customHeight="1" x14ac:dyDescent="0.3">
      <c r="B5" s="92"/>
      <c r="C5" s="152" t="s">
        <v>7</v>
      </c>
      <c r="D5" s="153">
        <f>'Tank Summary'!N12</f>
        <v>0</v>
      </c>
      <c r="E5" s="93"/>
      <c r="F5" s="93"/>
      <c r="G5" s="8"/>
      <c r="H5" s="8"/>
      <c r="I5" s="8"/>
      <c r="J5" s="8"/>
      <c r="K5" s="8"/>
      <c r="L5" s="8"/>
      <c r="M5" s="8"/>
      <c r="N5" s="8"/>
      <c r="O5" s="94"/>
    </row>
    <row r="6" spans="2:20" ht="16" customHeight="1" x14ac:dyDescent="0.3">
      <c r="B6" s="92"/>
      <c r="C6" s="147" t="s">
        <v>96</v>
      </c>
      <c r="D6" s="154">
        <f>'Tank Summary'!N13</f>
        <v>0</v>
      </c>
      <c r="E6" s="93"/>
      <c r="F6" s="93"/>
      <c r="G6" s="8"/>
      <c r="H6" s="8"/>
      <c r="I6" s="8"/>
      <c r="J6" s="8"/>
      <c r="K6" s="8"/>
      <c r="L6" s="8"/>
      <c r="M6" s="8"/>
      <c r="N6" s="8"/>
      <c r="O6" s="94"/>
    </row>
    <row r="7" spans="2:20" ht="40.5" customHeight="1" x14ac:dyDescent="0.3">
      <c r="B7" s="92"/>
      <c r="C7" s="155" t="s">
        <v>64</v>
      </c>
      <c r="D7" s="88">
        <f>'Tank Summary'!N14</f>
        <v>0</v>
      </c>
      <c r="E7" s="150"/>
      <c r="F7" s="93"/>
      <c r="G7" s="151"/>
      <c r="H7" s="8"/>
      <c r="I7" s="8"/>
      <c r="J7" s="8"/>
      <c r="K7" s="8"/>
      <c r="L7" s="8"/>
      <c r="M7" s="8"/>
      <c r="N7" s="8"/>
      <c r="O7" s="94"/>
    </row>
    <row r="8" spans="2:20" ht="39.75" customHeight="1" x14ac:dyDescent="0.3">
      <c r="B8" s="92"/>
      <c r="C8" s="155" t="s">
        <v>66</v>
      </c>
      <c r="D8" s="156">
        <f>'Tank Summary'!N15</f>
        <v>0</v>
      </c>
      <c r="E8" s="150"/>
      <c r="F8" s="93"/>
      <c r="G8" s="151"/>
      <c r="H8" s="8"/>
      <c r="I8" s="8"/>
      <c r="J8" s="8"/>
      <c r="K8" s="8"/>
      <c r="L8" s="8"/>
      <c r="M8" s="8"/>
      <c r="N8" s="8"/>
      <c r="O8" s="94"/>
    </row>
    <row r="9" spans="2:20" ht="18" customHeight="1" x14ac:dyDescent="0.3">
      <c r="B9" s="92"/>
      <c r="C9" s="147" t="s">
        <v>304</v>
      </c>
      <c r="D9" s="157">
        <f>'Tank Summary'!N20</f>
        <v>0</v>
      </c>
      <c r="E9" s="93" t="str">
        <f>IF(OR(D7="c", D7="r",D7="h"),"ft","")</f>
        <v/>
      </c>
      <c r="F9" s="96"/>
      <c r="G9" s="8"/>
      <c r="H9" s="8"/>
      <c r="I9" s="8"/>
      <c r="J9" s="8"/>
      <c r="K9" s="8"/>
      <c r="L9" s="8"/>
      <c r="M9" s="8"/>
      <c r="N9" s="8"/>
      <c r="O9" s="94"/>
    </row>
    <row r="10" spans="2:20" ht="18" customHeight="1" x14ac:dyDescent="0.3">
      <c r="B10" s="92"/>
      <c r="C10" s="158" t="str">
        <f>IF(OR(D7="c", D7="h"), "Tank diameter, D:", IF(D7="r","Longest Sidewall Length, D:","Maximum diameter, D:"))</f>
        <v>Maximum diameter, D:</v>
      </c>
      <c r="D10" s="157">
        <f>'Tank Summary'!N17</f>
        <v>0</v>
      </c>
      <c r="E10" s="93" t="str">
        <f>IF(OR(D7="c", D7="r",D7="h"),"ft","")</f>
        <v/>
      </c>
      <c r="F10" s="93"/>
      <c r="G10" s="151"/>
      <c r="H10" s="8"/>
      <c r="I10" s="8"/>
      <c r="J10" s="8"/>
      <c r="K10" s="8"/>
      <c r="L10" s="8"/>
      <c r="M10" s="8"/>
      <c r="N10" s="8"/>
      <c r="O10" s="94"/>
    </row>
    <row r="11" spans="2:20" ht="18" customHeight="1" x14ac:dyDescent="0.3">
      <c r="B11" s="92"/>
      <c r="C11" s="158" t="str">
        <f>IF(OR(D7="c", D7="h"),"",IF(D7="r","Shortest Sidewall Length, L:",""))</f>
        <v/>
      </c>
      <c r="D11" s="157">
        <f>'Tank Summary'!N18</f>
        <v>0</v>
      </c>
      <c r="E11" s="501" t="str">
        <f>IF(OR(D7="c", D7="h"),"",IF(D7="r","ft",IF(D8="y","","Spreadsheet is not set up for shapes other than cylindrical, hydropillar, &amp; rectangular unless SCADA reports tank volume!")))</f>
        <v>Spreadsheet is not set up for shapes other than cylindrical, hydropillar, &amp; rectangular unless SCADA reports tank volume!</v>
      </c>
      <c r="F11" s="502"/>
      <c r="G11" s="151"/>
      <c r="H11" s="8"/>
      <c r="I11" s="8"/>
      <c r="J11" s="8"/>
      <c r="K11" s="8"/>
      <c r="L11" s="8"/>
      <c r="M11" s="8"/>
      <c r="N11" s="8"/>
      <c r="O11" s="94"/>
    </row>
    <row r="12" spans="2:20" ht="18" customHeight="1" x14ac:dyDescent="0.3">
      <c r="B12" s="92"/>
      <c r="C12" s="152" t="str">
        <f>IF(D8="y", "Volume Cutoff Ratio:", "H/D Ratio:")</f>
        <v>H/D Ratio:</v>
      </c>
      <c r="D12" s="88" t="e">
        <f>IF(D8="y", (PI()/4)*D10^3, 'Tank Summary'!N22)</f>
        <v>#DIV/0!</v>
      </c>
      <c r="E12" s="501"/>
      <c r="F12" s="502"/>
      <c r="G12" s="151"/>
      <c r="H12" s="8"/>
      <c r="I12" s="8"/>
      <c r="J12" s="8"/>
      <c r="K12" s="8"/>
      <c r="L12" s="8"/>
      <c r="M12" s="8"/>
      <c r="N12" s="8"/>
      <c r="O12" s="94"/>
    </row>
    <row r="13" spans="2:20" ht="18" customHeight="1" x14ac:dyDescent="0.3">
      <c r="B13" s="92"/>
      <c r="C13" s="152" t="s">
        <v>10</v>
      </c>
      <c r="D13" s="88">
        <f>'Tank Summary'!N19</f>
        <v>0</v>
      </c>
      <c r="E13" s="93" t="s">
        <v>1</v>
      </c>
      <c r="F13" s="93"/>
      <c r="G13" s="8"/>
      <c r="H13" s="8"/>
      <c r="I13" s="8"/>
      <c r="J13" s="8"/>
      <c r="K13" s="8"/>
      <c r="L13" s="8"/>
      <c r="M13" s="8"/>
      <c r="N13" s="8"/>
      <c r="O13" s="94"/>
    </row>
    <row r="14" spans="2:20" ht="16" customHeight="1" x14ac:dyDescent="0.25">
      <c r="B14" s="92"/>
      <c r="C14" s="29"/>
      <c r="D14" s="29"/>
      <c r="E14" s="29"/>
      <c r="F14" s="29"/>
      <c r="G14" s="29"/>
      <c r="H14" s="29"/>
      <c r="I14" s="29"/>
      <c r="J14" s="8"/>
      <c r="K14" s="8"/>
      <c r="L14" s="8"/>
      <c r="M14" s="8"/>
      <c r="N14" s="8"/>
      <c r="O14" s="94"/>
      <c r="Q14" s="481"/>
      <c r="R14" s="481"/>
      <c r="S14" s="481"/>
      <c r="T14" s="481"/>
    </row>
    <row r="15" spans="2:20" ht="16" customHeight="1" x14ac:dyDescent="0.3">
      <c r="B15" s="92"/>
      <c r="C15" s="95" t="s">
        <v>206</v>
      </c>
      <c r="D15" s="53"/>
      <c r="E15" s="53"/>
      <c r="F15" s="53"/>
      <c r="G15" s="96"/>
      <c r="H15" s="338"/>
      <c r="I15" s="53"/>
      <c r="J15" s="8"/>
      <c r="K15" s="8"/>
      <c r="L15" s="97"/>
      <c r="M15" s="8"/>
      <c r="N15" s="8"/>
      <c r="O15" s="94"/>
      <c r="Q15" s="481"/>
      <c r="R15" s="481"/>
      <c r="S15" s="481"/>
      <c r="T15" s="481"/>
    </row>
    <row r="16" spans="2:20" ht="13" x14ac:dyDescent="0.3">
      <c r="B16" s="92"/>
      <c r="C16" s="13" t="s">
        <v>19</v>
      </c>
      <c r="D16" s="13" t="s">
        <v>20</v>
      </c>
      <c r="E16" s="13" t="str">
        <f>IF(D8="y","Vol at Start of Fill","Min Level")</f>
        <v>Min Level</v>
      </c>
      <c r="F16" s="13" t="str">
        <f>IF(D8="y","Vol at End of Fill","Max Level")</f>
        <v>Max Level</v>
      </c>
      <c r="G16" s="13" t="s">
        <v>21</v>
      </c>
      <c r="H16" s="13" t="s">
        <v>22</v>
      </c>
      <c r="I16" s="8"/>
      <c r="K16" s="8"/>
      <c r="L16" s="8"/>
      <c r="M16" s="8"/>
      <c r="N16" s="8"/>
      <c r="O16" s="94"/>
      <c r="Q16" s="481"/>
      <c r="R16" s="482" t="s">
        <v>285</v>
      </c>
      <c r="S16" s="481"/>
      <c r="T16" s="481"/>
    </row>
    <row r="17" spans="2:20" ht="13" x14ac:dyDescent="0.3">
      <c r="B17" s="92"/>
      <c r="C17" s="14"/>
      <c r="D17" s="14"/>
      <c r="E17" s="14" t="str">
        <f>IF(D8="y","Gal","Ft")</f>
        <v>Ft</v>
      </c>
      <c r="F17" s="14" t="str">
        <f>IF(D8="y","Gal","Ft")</f>
        <v>Ft</v>
      </c>
      <c r="G17" s="14"/>
      <c r="H17" s="14" t="s">
        <v>23</v>
      </c>
      <c r="I17" s="8"/>
      <c r="K17" s="8"/>
      <c r="L17" s="8"/>
      <c r="M17" s="8"/>
      <c r="N17" s="8"/>
      <c r="O17" s="94"/>
      <c r="Q17" s="481"/>
      <c r="R17" s="482" t="str">
        <f>IF(D8="y","Gal","Ft")</f>
        <v>Ft</v>
      </c>
      <c r="S17" s="481"/>
      <c r="T17" s="481"/>
    </row>
    <row r="18" spans="2:20" ht="13" x14ac:dyDescent="0.3">
      <c r="B18" s="92"/>
      <c r="C18" s="339"/>
      <c r="D18" s="340"/>
      <c r="E18" s="341"/>
      <c r="F18" s="341"/>
      <c r="G18" s="89">
        <f t="shared" ref="G18:G47" si="0">C18+D18</f>
        <v>0</v>
      </c>
      <c r="H18" s="12">
        <v>0</v>
      </c>
      <c r="I18" s="8">
        <v>1</v>
      </c>
      <c r="K18" s="8"/>
      <c r="L18" s="8"/>
      <c r="M18" s="8"/>
      <c r="N18" s="8"/>
      <c r="O18" s="94"/>
      <c r="Q18" s="481"/>
      <c r="R18" s="483" t="str">
        <f t="shared" ref="R18:R47" si="1">IF(G18,E18+F18,"")</f>
        <v/>
      </c>
      <c r="S18" s="481"/>
      <c r="T18" s="481"/>
    </row>
    <row r="19" spans="2:20" ht="13" x14ac:dyDescent="0.3">
      <c r="B19" s="92"/>
      <c r="C19" s="339"/>
      <c r="D19" s="340"/>
      <c r="E19" s="341"/>
      <c r="F19" s="341"/>
      <c r="G19" s="89">
        <f t="shared" si="0"/>
        <v>0</v>
      </c>
      <c r="H19" s="12" t="str">
        <f t="shared" ref="H19:H47" si="2">IF(G19,G19-$G$18,"")</f>
        <v/>
      </c>
      <c r="I19" s="8"/>
      <c r="K19" s="8"/>
      <c r="L19" s="8"/>
      <c r="M19" s="8"/>
      <c r="N19" s="8"/>
      <c r="O19" s="94"/>
      <c r="Q19" s="481"/>
      <c r="R19" s="483" t="str">
        <f t="shared" si="1"/>
        <v/>
      </c>
      <c r="S19" s="481"/>
      <c r="T19" s="481"/>
    </row>
    <row r="20" spans="2:20" ht="13" x14ac:dyDescent="0.3">
      <c r="B20" s="92"/>
      <c r="C20" s="347"/>
      <c r="D20" s="348"/>
      <c r="E20" s="349"/>
      <c r="F20" s="349"/>
      <c r="G20" s="350">
        <f t="shared" si="0"/>
        <v>0</v>
      </c>
      <c r="H20" s="351" t="str">
        <f t="shared" si="2"/>
        <v/>
      </c>
      <c r="I20" s="8">
        <v>2</v>
      </c>
      <c r="K20" s="8"/>
      <c r="L20" s="8"/>
      <c r="M20" s="8"/>
      <c r="N20" s="8"/>
      <c r="O20" s="94"/>
      <c r="Q20" s="481"/>
      <c r="R20" s="483" t="str">
        <f t="shared" si="1"/>
        <v/>
      </c>
      <c r="S20" s="481"/>
      <c r="T20" s="481"/>
    </row>
    <row r="21" spans="2:20" ht="13" x14ac:dyDescent="0.3">
      <c r="B21" s="92"/>
      <c r="C21" s="347"/>
      <c r="D21" s="348"/>
      <c r="E21" s="349"/>
      <c r="F21" s="349"/>
      <c r="G21" s="350">
        <f t="shared" si="0"/>
        <v>0</v>
      </c>
      <c r="H21" s="351" t="str">
        <f t="shared" si="2"/>
        <v/>
      </c>
      <c r="I21" s="8"/>
      <c r="K21" s="8"/>
      <c r="L21" s="8"/>
      <c r="M21" s="8"/>
      <c r="N21" s="8"/>
      <c r="O21" s="94"/>
      <c r="Q21" s="481"/>
      <c r="R21" s="483" t="str">
        <f t="shared" si="1"/>
        <v/>
      </c>
      <c r="S21" s="481"/>
      <c r="T21" s="481"/>
    </row>
    <row r="22" spans="2:20" ht="13" x14ac:dyDescent="0.3">
      <c r="B22" s="92"/>
      <c r="C22" s="339"/>
      <c r="D22" s="340"/>
      <c r="E22" s="341"/>
      <c r="F22" s="341"/>
      <c r="G22" s="89">
        <f t="shared" si="0"/>
        <v>0</v>
      </c>
      <c r="H22" s="12" t="str">
        <f t="shared" si="2"/>
        <v/>
      </c>
      <c r="I22" s="8">
        <v>3</v>
      </c>
      <c r="K22" s="8"/>
      <c r="L22" s="8"/>
      <c r="M22" s="8"/>
      <c r="N22" s="8"/>
      <c r="O22" s="94"/>
      <c r="Q22" s="481"/>
      <c r="R22" s="483" t="str">
        <f t="shared" si="1"/>
        <v/>
      </c>
      <c r="S22" s="481"/>
      <c r="T22" s="481"/>
    </row>
    <row r="23" spans="2:20" ht="13" x14ac:dyDescent="0.3">
      <c r="B23" s="92"/>
      <c r="C23" s="339"/>
      <c r="D23" s="340"/>
      <c r="E23" s="341"/>
      <c r="F23" s="341"/>
      <c r="G23" s="89">
        <f t="shared" si="0"/>
        <v>0</v>
      </c>
      <c r="H23" s="12" t="str">
        <f t="shared" si="2"/>
        <v/>
      </c>
      <c r="I23" s="8"/>
      <c r="K23" s="8"/>
      <c r="L23" s="8"/>
      <c r="M23" s="8"/>
      <c r="N23" s="8"/>
      <c r="O23" s="94"/>
      <c r="Q23" s="481"/>
      <c r="R23" s="483" t="str">
        <f t="shared" si="1"/>
        <v/>
      </c>
      <c r="S23" s="481"/>
      <c r="T23" s="481"/>
    </row>
    <row r="24" spans="2:20" ht="13" x14ac:dyDescent="0.3">
      <c r="B24" s="92"/>
      <c r="C24" s="347"/>
      <c r="D24" s="348"/>
      <c r="E24" s="349"/>
      <c r="F24" s="349"/>
      <c r="G24" s="350">
        <f t="shared" si="0"/>
        <v>0</v>
      </c>
      <c r="H24" s="351" t="str">
        <f t="shared" si="2"/>
        <v/>
      </c>
      <c r="I24" s="8">
        <v>4</v>
      </c>
      <c r="K24" s="8"/>
      <c r="L24" s="8"/>
      <c r="M24" s="8"/>
      <c r="N24" s="8"/>
      <c r="O24" s="94"/>
      <c r="Q24" s="481"/>
      <c r="R24" s="483" t="str">
        <f t="shared" si="1"/>
        <v/>
      </c>
      <c r="S24" s="481"/>
      <c r="T24" s="481"/>
    </row>
    <row r="25" spans="2:20" ht="13" x14ac:dyDescent="0.3">
      <c r="B25" s="92"/>
      <c r="C25" s="347"/>
      <c r="D25" s="348"/>
      <c r="E25" s="349"/>
      <c r="F25" s="349"/>
      <c r="G25" s="350">
        <f t="shared" si="0"/>
        <v>0</v>
      </c>
      <c r="H25" s="351" t="str">
        <f t="shared" si="2"/>
        <v/>
      </c>
      <c r="I25" s="8"/>
      <c r="K25" s="8"/>
      <c r="L25" s="8"/>
      <c r="M25" s="8"/>
      <c r="N25" s="8"/>
      <c r="O25" s="94"/>
      <c r="Q25" s="481"/>
      <c r="R25" s="483" t="str">
        <f t="shared" si="1"/>
        <v/>
      </c>
      <c r="S25" s="481"/>
      <c r="T25" s="481"/>
    </row>
    <row r="26" spans="2:20" ht="13" x14ac:dyDescent="0.3">
      <c r="B26" s="92"/>
      <c r="C26" s="342"/>
      <c r="D26" s="340"/>
      <c r="E26" s="341"/>
      <c r="F26" s="341"/>
      <c r="G26" s="89">
        <f t="shared" si="0"/>
        <v>0</v>
      </c>
      <c r="H26" s="12" t="str">
        <f t="shared" si="2"/>
        <v/>
      </c>
      <c r="I26" s="8">
        <v>5</v>
      </c>
      <c r="K26" s="8"/>
      <c r="L26" s="8"/>
      <c r="M26" s="8"/>
      <c r="N26" s="8"/>
      <c r="O26" s="94"/>
      <c r="Q26" s="481"/>
      <c r="R26" s="483" t="str">
        <f t="shared" si="1"/>
        <v/>
      </c>
      <c r="S26" s="481"/>
      <c r="T26" s="481"/>
    </row>
    <row r="27" spans="2:20" ht="13" x14ac:dyDescent="0.3">
      <c r="B27" s="92"/>
      <c r="C27" s="342"/>
      <c r="D27" s="340"/>
      <c r="E27" s="341"/>
      <c r="F27" s="341"/>
      <c r="G27" s="89">
        <f t="shared" si="0"/>
        <v>0</v>
      </c>
      <c r="H27" s="12" t="str">
        <f t="shared" si="2"/>
        <v/>
      </c>
      <c r="I27" s="8"/>
      <c r="K27" s="8"/>
      <c r="L27" s="8"/>
      <c r="M27" s="8"/>
      <c r="N27" s="8"/>
      <c r="O27" s="94"/>
      <c r="Q27" s="481"/>
      <c r="R27" s="483" t="str">
        <f t="shared" si="1"/>
        <v/>
      </c>
      <c r="S27" s="481"/>
      <c r="T27" s="481"/>
    </row>
    <row r="28" spans="2:20" ht="13" x14ac:dyDescent="0.3">
      <c r="B28" s="92"/>
      <c r="C28" s="347"/>
      <c r="D28" s="348"/>
      <c r="E28" s="349"/>
      <c r="F28" s="349"/>
      <c r="G28" s="350">
        <f t="shared" si="0"/>
        <v>0</v>
      </c>
      <c r="H28" s="351" t="str">
        <f t="shared" si="2"/>
        <v/>
      </c>
      <c r="I28" s="8">
        <v>6</v>
      </c>
      <c r="K28" s="8"/>
      <c r="L28" s="8"/>
      <c r="M28" s="8"/>
      <c r="N28" s="8"/>
      <c r="O28" s="94"/>
      <c r="Q28" s="481"/>
      <c r="R28" s="483" t="str">
        <f t="shared" si="1"/>
        <v/>
      </c>
      <c r="S28" s="481"/>
      <c r="T28" s="481"/>
    </row>
    <row r="29" spans="2:20" ht="13" x14ac:dyDescent="0.3">
      <c r="B29" s="92"/>
      <c r="C29" s="347"/>
      <c r="D29" s="348"/>
      <c r="E29" s="349"/>
      <c r="F29" s="349"/>
      <c r="G29" s="350">
        <f t="shared" si="0"/>
        <v>0</v>
      </c>
      <c r="H29" s="351" t="str">
        <f t="shared" si="2"/>
        <v/>
      </c>
      <c r="I29" s="8"/>
      <c r="K29" s="8"/>
      <c r="L29" s="8"/>
      <c r="M29" s="8"/>
      <c r="N29" s="8"/>
      <c r="O29" s="94"/>
      <c r="Q29" s="481"/>
      <c r="R29" s="483" t="str">
        <f t="shared" si="1"/>
        <v/>
      </c>
      <c r="S29" s="481"/>
      <c r="T29" s="481"/>
    </row>
    <row r="30" spans="2:20" ht="13" x14ac:dyDescent="0.3">
      <c r="B30" s="92"/>
      <c r="C30" s="342"/>
      <c r="D30" s="340"/>
      <c r="E30" s="341"/>
      <c r="F30" s="343"/>
      <c r="G30" s="89">
        <f t="shared" si="0"/>
        <v>0</v>
      </c>
      <c r="H30" s="12" t="str">
        <f t="shared" si="2"/>
        <v/>
      </c>
      <c r="I30" s="8">
        <v>7</v>
      </c>
      <c r="K30" s="8"/>
      <c r="L30" s="8"/>
      <c r="M30" s="8"/>
      <c r="N30" s="8"/>
      <c r="O30" s="94"/>
      <c r="Q30" s="481"/>
      <c r="R30" s="483" t="str">
        <f t="shared" si="1"/>
        <v/>
      </c>
      <c r="S30" s="481"/>
      <c r="T30" s="481"/>
    </row>
    <row r="31" spans="2:20" ht="13" x14ac:dyDescent="0.3">
      <c r="B31" s="92"/>
      <c r="C31" s="342"/>
      <c r="D31" s="340"/>
      <c r="E31" s="341"/>
      <c r="F31" s="341"/>
      <c r="G31" s="89">
        <f t="shared" si="0"/>
        <v>0</v>
      </c>
      <c r="H31" s="12" t="str">
        <f t="shared" si="2"/>
        <v/>
      </c>
      <c r="I31" s="8"/>
      <c r="K31" s="8"/>
      <c r="L31" s="8"/>
      <c r="M31" s="8"/>
      <c r="N31" s="8"/>
      <c r="O31" s="94"/>
      <c r="Q31" s="481"/>
      <c r="R31" s="483" t="str">
        <f t="shared" si="1"/>
        <v/>
      </c>
      <c r="S31" s="481"/>
      <c r="T31" s="481"/>
    </row>
    <row r="32" spans="2:20" ht="13" x14ac:dyDescent="0.3">
      <c r="B32" s="92"/>
      <c r="C32" s="347"/>
      <c r="D32" s="348"/>
      <c r="E32" s="349"/>
      <c r="F32" s="349"/>
      <c r="G32" s="350">
        <f t="shared" si="0"/>
        <v>0</v>
      </c>
      <c r="H32" s="351" t="str">
        <f t="shared" si="2"/>
        <v/>
      </c>
      <c r="I32" s="8">
        <v>8</v>
      </c>
      <c r="K32" s="8"/>
      <c r="L32" s="8"/>
      <c r="M32" s="8"/>
      <c r="N32" s="8"/>
      <c r="O32" s="94"/>
      <c r="Q32" s="481"/>
      <c r="R32" s="483" t="str">
        <f t="shared" si="1"/>
        <v/>
      </c>
      <c r="S32" s="481"/>
      <c r="T32" s="481"/>
    </row>
    <row r="33" spans="2:20" ht="13" x14ac:dyDescent="0.3">
      <c r="B33" s="92"/>
      <c r="C33" s="347"/>
      <c r="D33" s="348"/>
      <c r="E33" s="349"/>
      <c r="F33" s="349"/>
      <c r="G33" s="350">
        <f t="shared" si="0"/>
        <v>0</v>
      </c>
      <c r="H33" s="351" t="str">
        <f t="shared" si="2"/>
        <v/>
      </c>
      <c r="I33" s="8"/>
      <c r="K33" s="8"/>
      <c r="L33" s="8"/>
      <c r="M33" s="8"/>
      <c r="N33" s="8"/>
      <c r="O33" s="94"/>
      <c r="Q33" s="481"/>
      <c r="R33" s="483" t="str">
        <f t="shared" si="1"/>
        <v/>
      </c>
      <c r="S33" s="481"/>
      <c r="T33" s="481"/>
    </row>
    <row r="34" spans="2:20" ht="13" x14ac:dyDescent="0.3">
      <c r="B34" s="92"/>
      <c r="C34" s="342"/>
      <c r="D34" s="340"/>
      <c r="E34" s="341"/>
      <c r="F34" s="341"/>
      <c r="G34" s="89">
        <f t="shared" si="0"/>
        <v>0</v>
      </c>
      <c r="H34" s="12" t="str">
        <f t="shared" si="2"/>
        <v/>
      </c>
      <c r="I34" s="8">
        <v>9</v>
      </c>
      <c r="K34" s="8"/>
      <c r="L34" s="8"/>
      <c r="M34" s="8"/>
      <c r="N34" s="8"/>
      <c r="O34" s="94"/>
      <c r="Q34" s="481"/>
      <c r="R34" s="483" t="str">
        <f t="shared" si="1"/>
        <v/>
      </c>
      <c r="S34" s="481"/>
      <c r="T34" s="481"/>
    </row>
    <row r="35" spans="2:20" ht="13" x14ac:dyDescent="0.3">
      <c r="B35" s="92"/>
      <c r="C35" s="342"/>
      <c r="D35" s="340"/>
      <c r="E35" s="341"/>
      <c r="F35" s="341"/>
      <c r="G35" s="89">
        <f t="shared" si="0"/>
        <v>0</v>
      </c>
      <c r="H35" s="12" t="str">
        <f t="shared" si="2"/>
        <v/>
      </c>
      <c r="I35" s="8"/>
      <c r="K35" s="8"/>
      <c r="L35" s="8"/>
      <c r="M35" s="8"/>
      <c r="N35" s="8"/>
      <c r="O35" s="94"/>
      <c r="Q35" s="481"/>
      <c r="R35" s="483" t="str">
        <f t="shared" si="1"/>
        <v/>
      </c>
      <c r="S35" s="481"/>
      <c r="T35" s="481"/>
    </row>
    <row r="36" spans="2:20" ht="13" x14ac:dyDescent="0.3">
      <c r="B36" s="92"/>
      <c r="C36" s="347"/>
      <c r="D36" s="348"/>
      <c r="E36" s="349"/>
      <c r="F36" s="349"/>
      <c r="G36" s="350">
        <f t="shared" si="0"/>
        <v>0</v>
      </c>
      <c r="H36" s="351" t="str">
        <f t="shared" si="2"/>
        <v/>
      </c>
      <c r="I36" s="8">
        <v>10</v>
      </c>
      <c r="K36" s="8"/>
      <c r="L36" s="8"/>
      <c r="M36" s="8"/>
      <c r="N36" s="8"/>
      <c r="O36" s="94"/>
      <c r="Q36" s="481"/>
      <c r="R36" s="483" t="str">
        <f t="shared" si="1"/>
        <v/>
      </c>
      <c r="S36" s="481"/>
      <c r="T36" s="481"/>
    </row>
    <row r="37" spans="2:20" ht="13" x14ac:dyDescent="0.3">
      <c r="B37" s="92"/>
      <c r="C37" s="347"/>
      <c r="D37" s="348"/>
      <c r="E37" s="349"/>
      <c r="F37" s="349"/>
      <c r="G37" s="350">
        <f t="shared" si="0"/>
        <v>0</v>
      </c>
      <c r="H37" s="351" t="str">
        <f t="shared" si="2"/>
        <v/>
      </c>
      <c r="I37" s="8"/>
      <c r="K37" s="8"/>
      <c r="L37" s="8"/>
      <c r="M37" s="8"/>
      <c r="N37" s="8"/>
      <c r="O37" s="94"/>
      <c r="Q37" s="481"/>
      <c r="R37" s="483" t="str">
        <f t="shared" si="1"/>
        <v/>
      </c>
      <c r="S37" s="481"/>
      <c r="T37" s="481"/>
    </row>
    <row r="38" spans="2:20" ht="13" x14ac:dyDescent="0.3">
      <c r="B38" s="92"/>
      <c r="C38" s="342"/>
      <c r="D38" s="340"/>
      <c r="E38" s="341"/>
      <c r="F38" s="341"/>
      <c r="G38" s="89">
        <f t="shared" si="0"/>
        <v>0</v>
      </c>
      <c r="H38" s="12" t="str">
        <f t="shared" si="2"/>
        <v/>
      </c>
      <c r="I38" s="8">
        <v>11</v>
      </c>
      <c r="K38" s="424"/>
      <c r="L38" s="8"/>
      <c r="M38" s="8"/>
      <c r="N38" s="8"/>
      <c r="O38" s="94"/>
      <c r="Q38" s="481"/>
      <c r="R38" s="483" t="str">
        <f t="shared" si="1"/>
        <v/>
      </c>
      <c r="S38" s="481"/>
      <c r="T38" s="481"/>
    </row>
    <row r="39" spans="2:20" ht="13" x14ac:dyDescent="0.3">
      <c r="B39" s="92"/>
      <c r="C39" s="342"/>
      <c r="D39" s="340"/>
      <c r="E39" s="341"/>
      <c r="F39" s="341"/>
      <c r="G39" s="89">
        <f t="shared" si="0"/>
        <v>0</v>
      </c>
      <c r="H39" s="12" t="str">
        <f t="shared" si="2"/>
        <v/>
      </c>
      <c r="I39" s="8"/>
      <c r="K39" s="486"/>
      <c r="L39" s="8"/>
      <c r="M39" s="8"/>
      <c r="N39" s="8"/>
      <c r="O39" s="94"/>
      <c r="Q39" s="481"/>
      <c r="R39" s="483" t="str">
        <f t="shared" si="1"/>
        <v/>
      </c>
      <c r="S39" s="481"/>
      <c r="T39" s="481"/>
    </row>
    <row r="40" spans="2:20" ht="13" x14ac:dyDescent="0.3">
      <c r="B40" s="92"/>
      <c r="C40" s="347"/>
      <c r="D40" s="348"/>
      <c r="E40" s="349"/>
      <c r="F40" s="349"/>
      <c r="G40" s="350">
        <f t="shared" si="0"/>
        <v>0</v>
      </c>
      <c r="H40" s="351" t="str">
        <f t="shared" si="2"/>
        <v/>
      </c>
      <c r="I40" s="8">
        <v>12</v>
      </c>
      <c r="K40" s="486"/>
      <c r="L40" s="8"/>
      <c r="M40" s="8"/>
      <c r="N40" s="8"/>
      <c r="O40" s="94"/>
      <c r="Q40" s="481"/>
      <c r="R40" s="483" t="str">
        <f t="shared" si="1"/>
        <v/>
      </c>
      <c r="S40" s="481"/>
      <c r="T40" s="481"/>
    </row>
    <row r="41" spans="2:20" ht="13" x14ac:dyDescent="0.3">
      <c r="B41" s="92"/>
      <c r="C41" s="347"/>
      <c r="D41" s="348"/>
      <c r="E41" s="349"/>
      <c r="F41" s="349"/>
      <c r="G41" s="350">
        <f t="shared" si="0"/>
        <v>0</v>
      </c>
      <c r="H41" s="351" t="str">
        <f t="shared" si="2"/>
        <v/>
      </c>
      <c r="I41" s="8"/>
      <c r="K41" s="424"/>
      <c r="L41" s="8"/>
      <c r="M41" s="8"/>
      <c r="N41" s="8"/>
      <c r="O41" s="94"/>
      <c r="Q41" s="481"/>
      <c r="R41" s="483" t="str">
        <f t="shared" si="1"/>
        <v/>
      </c>
      <c r="S41" s="481"/>
      <c r="T41" s="481"/>
    </row>
    <row r="42" spans="2:20" ht="13" x14ac:dyDescent="0.3">
      <c r="B42" s="92"/>
      <c r="C42" s="342"/>
      <c r="D42" s="340"/>
      <c r="E42" s="341"/>
      <c r="F42" s="341"/>
      <c r="G42" s="89">
        <f t="shared" si="0"/>
        <v>0</v>
      </c>
      <c r="H42" s="12" t="str">
        <f t="shared" si="2"/>
        <v/>
      </c>
      <c r="I42" s="8">
        <v>13</v>
      </c>
      <c r="K42" s="8"/>
      <c r="L42" s="8"/>
      <c r="M42" s="8"/>
      <c r="N42" s="8"/>
      <c r="O42" s="94"/>
      <c r="Q42" s="481"/>
      <c r="R42" s="483" t="str">
        <f t="shared" si="1"/>
        <v/>
      </c>
      <c r="S42" s="481"/>
      <c r="T42" s="481"/>
    </row>
    <row r="43" spans="2:20" ht="13" x14ac:dyDescent="0.3">
      <c r="B43" s="92"/>
      <c r="C43" s="342"/>
      <c r="D43" s="340"/>
      <c r="E43" s="341"/>
      <c r="F43" s="341"/>
      <c r="G43" s="89">
        <f t="shared" si="0"/>
        <v>0</v>
      </c>
      <c r="H43" s="12" t="str">
        <f t="shared" si="2"/>
        <v/>
      </c>
      <c r="I43" s="8"/>
      <c r="K43" s="8"/>
      <c r="L43" s="8"/>
      <c r="M43" s="8"/>
      <c r="N43" s="8"/>
      <c r="O43" s="94"/>
      <c r="Q43" s="481"/>
      <c r="R43" s="483" t="str">
        <f t="shared" si="1"/>
        <v/>
      </c>
      <c r="S43" s="481"/>
      <c r="T43" s="481"/>
    </row>
    <row r="44" spans="2:20" ht="13" x14ac:dyDescent="0.3">
      <c r="B44" s="92"/>
      <c r="C44" s="347"/>
      <c r="D44" s="348"/>
      <c r="E44" s="349"/>
      <c r="F44" s="349"/>
      <c r="G44" s="350">
        <f t="shared" si="0"/>
        <v>0</v>
      </c>
      <c r="H44" s="351" t="str">
        <f t="shared" si="2"/>
        <v/>
      </c>
      <c r="I44" s="8">
        <v>14</v>
      </c>
      <c r="K44" s="8"/>
      <c r="L44" s="8"/>
      <c r="M44" s="8"/>
      <c r="N44" s="8"/>
      <c r="O44" s="94"/>
      <c r="Q44" s="481"/>
      <c r="R44" s="483" t="str">
        <f t="shared" si="1"/>
        <v/>
      </c>
      <c r="S44" s="481"/>
      <c r="T44" s="481"/>
    </row>
    <row r="45" spans="2:20" ht="13" x14ac:dyDescent="0.3">
      <c r="B45" s="92"/>
      <c r="C45" s="347"/>
      <c r="D45" s="348"/>
      <c r="E45" s="349"/>
      <c r="F45" s="349"/>
      <c r="G45" s="350">
        <f t="shared" si="0"/>
        <v>0</v>
      </c>
      <c r="H45" s="351" t="str">
        <f t="shared" si="2"/>
        <v/>
      </c>
      <c r="I45" s="8"/>
      <c r="L45" s="8"/>
      <c r="M45" s="8"/>
      <c r="N45" s="8"/>
      <c r="O45" s="94"/>
      <c r="Q45" s="481"/>
      <c r="R45" s="483" t="str">
        <f t="shared" si="1"/>
        <v/>
      </c>
      <c r="S45" s="481"/>
      <c r="T45" s="481"/>
    </row>
    <row r="46" spans="2:20" ht="13" x14ac:dyDescent="0.3">
      <c r="B46" s="92"/>
      <c r="C46" s="342"/>
      <c r="D46" s="340"/>
      <c r="E46" s="341"/>
      <c r="F46" s="341"/>
      <c r="G46" s="89">
        <f t="shared" si="0"/>
        <v>0</v>
      </c>
      <c r="H46" s="12" t="str">
        <f t="shared" si="2"/>
        <v/>
      </c>
      <c r="I46" s="8">
        <v>15</v>
      </c>
      <c r="L46" s="8"/>
      <c r="M46" s="8"/>
      <c r="N46" s="8"/>
      <c r="O46" s="94"/>
      <c r="Q46" s="481"/>
      <c r="R46" s="483" t="str">
        <f t="shared" si="1"/>
        <v/>
      </c>
      <c r="S46" s="481"/>
      <c r="T46" s="481"/>
    </row>
    <row r="47" spans="2:20" ht="13" x14ac:dyDescent="0.3">
      <c r="B47" s="92"/>
      <c r="C47" s="342"/>
      <c r="D47" s="340"/>
      <c r="E47" s="341"/>
      <c r="F47" s="341"/>
      <c r="G47" s="89">
        <f t="shared" si="0"/>
        <v>0</v>
      </c>
      <c r="H47" s="12" t="str">
        <f t="shared" si="2"/>
        <v/>
      </c>
      <c r="I47" s="8"/>
      <c r="L47" s="8"/>
      <c r="M47" s="8"/>
      <c r="N47" s="8"/>
      <c r="O47" s="94"/>
      <c r="Q47" s="481"/>
      <c r="R47" s="483" t="str">
        <f t="shared" si="1"/>
        <v/>
      </c>
      <c r="S47" s="481"/>
      <c r="T47" s="481"/>
    </row>
    <row r="48" spans="2:20" ht="13" x14ac:dyDescent="0.3">
      <c r="B48" s="92"/>
      <c r="C48" s="8"/>
      <c r="D48" s="8"/>
      <c r="E48" s="430" t="str">
        <f>IF(COUNT(E16:E47)=COUNT(F16:F47),"", "Please enter complete fill periods (i.e., equal number of min and max levels)!")</f>
        <v/>
      </c>
      <c r="F48" s="428"/>
      <c r="G48" s="8"/>
      <c r="H48" s="8"/>
      <c r="I48" s="8"/>
      <c r="J48" s="8"/>
      <c r="L48" s="8"/>
      <c r="M48" s="8"/>
      <c r="N48" s="8"/>
      <c r="O48" s="94"/>
      <c r="Q48" s="481"/>
      <c r="R48" s="481"/>
      <c r="S48" s="481"/>
      <c r="T48" s="481"/>
    </row>
    <row r="49" spans="2:20" ht="27" customHeight="1" thickBot="1" x14ac:dyDescent="0.35">
      <c r="B49" s="92"/>
      <c r="C49" s="8"/>
      <c r="D49" s="8"/>
      <c r="E49" s="429"/>
      <c r="F49" s="429"/>
      <c r="G49" s="8"/>
      <c r="H49" s="8"/>
      <c r="I49" s="8"/>
      <c r="J49" s="8"/>
      <c r="L49" s="8"/>
      <c r="M49" s="8"/>
      <c r="N49" s="8"/>
      <c r="O49" s="94"/>
      <c r="Q49" s="481"/>
      <c r="R49" s="481"/>
      <c r="S49" s="481"/>
      <c r="T49" s="481"/>
    </row>
    <row r="50" spans="2:20" x14ac:dyDescent="0.25">
      <c r="B50" s="92"/>
      <c r="C50" s="17" t="s">
        <v>0</v>
      </c>
      <c r="D50" s="18" t="str">
        <f>IF(D8="y","Vol at Start of Fill","Low/Min Level")</f>
        <v>Low/Min Level</v>
      </c>
      <c r="E50" s="18" t="str">
        <f>IF(D8="y","Vol at End of Fill","High/Max Level")</f>
        <v>High/Max Level</v>
      </c>
      <c r="F50" s="18" t="s">
        <v>13</v>
      </c>
      <c r="G50" s="67" t="s">
        <v>16</v>
      </c>
      <c r="H50" s="18" t="s">
        <v>41</v>
      </c>
      <c r="I50" s="70" t="s">
        <v>6</v>
      </c>
      <c r="J50" s="433" t="s">
        <v>11</v>
      </c>
      <c r="K50" s="434"/>
      <c r="L50" s="435"/>
      <c r="M50" s="51"/>
      <c r="N50" s="52"/>
      <c r="O50" s="94"/>
      <c r="P50" s="487"/>
      <c r="Q50" s="481"/>
      <c r="R50" s="481"/>
      <c r="S50" s="481"/>
      <c r="T50" s="481"/>
    </row>
    <row r="51" spans="2:20" ht="12.75" customHeight="1" x14ac:dyDescent="0.25">
      <c r="B51" s="92"/>
      <c r="C51" s="19"/>
      <c r="D51" s="20"/>
      <c r="E51" s="20"/>
      <c r="F51" s="20" t="s">
        <v>14</v>
      </c>
      <c r="G51" s="68" t="s">
        <v>15</v>
      </c>
      <c r="H51" s="20" t="s">
        <v>42</v>
      </c>
      <c r="I51" s="71" t="s">
        <v>15</v>
      </c>
      <c r="J51" s="20" t="s">
        <v>9</v>
      </c>
      <c r="K51" s="493" t="s">
        <v>232</v>
      </c>
      <c r="L51" s="46" t="s">
        <v>12</v>
      </c>
      <c r="M51" s="20" t="s">
        <v>24</v>
      </c>
      <c r="N51" s="23" t="s">
        <v>25</v>
      </c>
      <c r="O51" s="94"/>
      <c r="P51" s="8"/>
      <c r="Q51" s="481"/>
      <c r="R51" s="481"/>
      <c r="S51" s="481"/>
      <c r="T51" s="481"/>
    </row>
    <row r="52" spans="2:20" ht="26.25" customHeight="1" thickBot="1" x14ac:dyDescent="0.3">
      <c r="B52" s="92"/>
      <c r="C52" s="21"/>
      <c r="D52" s="22" t="str">
        <f>IF(D8="y","(gal)","(ft)")</f>
        <v>(ft)</v>
      </c>
      <c r="E52" s="22" t="str">
        <f>IF(D8="y","(gal)","(ft)")</f>
        <v>(ft)</v>
      </c>
      <c r="F52" s="22" t="s">
        <v>17</v>
      </c>
      <c r="G52" s="69" t="s">
        <v>17</v>
      </c>
      <c r="H52" s="22" t="s">
        <v>17</v>
      </c>
      <c r="I52" s="72" t="s">
        <v>17</v>
      </c>
      <c r="J52" s="305" t="s">
        <v>32</v>
      </c>
      <c r="K52" s="491" t="s">
        <v>233</v>
      </c>
      <c r="L52" s="305" t="s">
        <v>32</v>
      </c>
      <c r="M52" s="22" t="s">
        <v>58</v>
      </c>
      <c r="N52" s="87" t="s">
        <v>58</v>
      </c>
      <c r="O52" s="94"/>
      <c r="Q52" s="481"/>
      <c r="R52" s="481"/>
      <c r="S52" s="481"/>
      <c r="T52" s="481"/>
    </row>
    <row r="53" spans="2:20" ht="13" thickTop="1" x14ac:dyDescent="0.25">
      <c r="B53" s="92">
        <f t="shared" ref="B53:B67" si="3">IF(D53=0,0,1)</f>
        <v>0</v>
      </c>
      <c r="C53" s="73">
        <v>1</v>
      </c>
      <c r="D53" s="74">
        <f>IF(ISBLANK(E18),E19,E18)</f>
        <v>0</v>
      </c>
      <c r="E53" s="74">
        <f>IF(ISBLANK(F18),F19,F18)</f>
        <v>0</v>
      </c>
      <c r="F53" s="86" t="str">
        <f>IF(OR($D$7="c",$D$7="h"),($D53)*PI()*($D$10/2)^2*7.48/10^6,IF($D$7="r",$D53*$D$10*$D$11*7.48/10^6,IF($D$8="y",$D53/10^6,"error")))</f>
        <v>error</v>
      </c>
      <c r="G53" s="86" t="str">
        <f>IF(OR($D$7="c",$D$7="h"),($E53-$D53)*PI()*($D$10/2)^2*7.48/10^6,IF($D$7="r",($E53-$D53)*$D$10*$D$11*7.48/10^6,IF($D$8="y",($E53-$D53)/10^6,"error")))</f>
        <v>error</v>
      </c>
      <c r="H53" s="49"/>
      <c r="I53" s="75" t="str">
        <f>IF(D53+E53=0,"n/a",IF(OR($D$7="c",$D$7="h"),((D53+E53)/2)*PI()*($D$10/2)^2*7.48/10^6,IF($D$7="r",((D53+E53)/2)*$D$10*$D$11*7.48/10^6,IF($D$8="y",((D53+E53)/2)/10^6,""))))</f>
        <v>n/a</v>
      </c>
      <c r="J53" s="49" t="e">
        <f t="shared" ref="J53:J67" si="4">IF(G53=0,"n/a",G53/F53)</f>
        <v>#VALUE!</v>
      </c>
      <c r="K53" s="492" t="str">
        <f>IF(AND('Tank Summary'!$N$16="y",'Tank Summary'!$N$15 = "n"), IF(E53&lt;=$D$10, 10.2, 3.58*(E53/$D$10)+6.66), IF(AND('Tank Summary'!$N$16="y", 'Tank Summary'!$N$15="y"),IF(E53 &lt;= (PI()/4)*$D$10^3, 10.2, 3.58*(E53/$D$12)+6.66), "Tank mixing equations do not apply"))</f>
        <v>Tank mixing equations do not apply</v>
      </c>
      <c r="L53" s="76" t="e">
        <f>IF(F53=0,"n/a",((K53/1.13)*$D$13)/((F53*10^6/7.48)^(1/3)))</f>
        <v>#VALUE!</v>
      </c>
      <c r="M53" s="49" t="str">
        <f>IF(ISERROR(H19-H18),"n/a",IF(ISBLANK(E18), "n/a",H19-H18))</f>
        <v>n/a</v>
      </c>
      <c r="N53" s="50" t="str">
        <f>IF(ISERROR(H19-H18),"n/a",IF(ISBLANK(E18), H19-H18,"n/a"))</f>
        <v>n/a</v>
      </c>
      <c r="O53" s="94"/>
      <c r="Q53" s="481"/>
      <c r="R53" s="481"/>
      <c r="S53" s="481"/>
      <c r="T53" s="481"/>
    </row>
    <row r="54" spans="2:20" x14ac:dyDescent="0.25">
      <c r="B54" s="92">
        <f t="shared" si="3"/>
        <v>0</v>
      </c>
      <c r="C54" s="77">
        <v>2</v>
      </c>
      <c r="D54" s="74">
        <f>IF(ISBLANK(E20),E21,E20)</f>
        <v>0</v>
      </c>
      <c r="E54" s="74">
        <f>IF(ISBLANK(F20),F21,F20)</f>
        <v>0</v>
      </c>
      <c r="F54" s="32" t="str">
        <f>IF(OR($D$7="c",$D$7="h"),($D54)*PI()*($D$10/2)^2*7.48/10^6,IF($D$7="r",$D54*$D$10*$D$11*7.48/10^6,IF($D$8="y",$D54/10^6,"error")))</f>
        <v>error</v>
      </c>
      <c r="G54" s="32" t="str">
        <f>IF(OR($D$7="c",$D$7="h"),($E54-$D54)*PI()*($D$10/2)^2*7.48/10^6,IF($D$7="r",($E54-$D54)*$D$10*$D$11*7.48/10^6,IF($D$8="y",($E54-$D54)/10^6,"error")))</f>
        <v>error</v>
      </c>
      <c r="H54" s="49" t="str">
        <f>IF(D54,IF(OR($D$7="c",$D$7="h"),($E53-$D54)*PI()*($D$10/2)^2*7.48/10^6,IF($D$7="r",($E53-$D54)*$D$10*$D$11*7.48/10^6,IF($D$8="y",($E53-$D54)/10^6,""))),"")</f>
        <v/>
      </c>
      <c r="I54" s="75" t="str">
        <f>IF(D54+E54=0,"n/a",IF(OR($D$7="c",$D$7="h"),((D54+E54)/2)*PI()*($D$10/2)^2*7.48/10^6,IF($D$7="r",((D54+E54)/2)*$D$10*$D$11*7.48/10^6,IF($D$8="y",((D54+E54)/2)/10^6,""))))</f>
        <v>n/a</v>
      </c>
      <c r="J54" s="11" t="e">
        <f t="shared" si="4"/>
        <v>#VALUE!</v>
      </c>
      <c r="K54" s="492" t="str">
        <f>IF(AND('Tank Summary'!$N$16="y",'Tank Summary'!$N$15 = "n"), IF(E54&lt;=$D$10, 10.2, 3.58*(E54/$D$10)+6.66), IF(AND('Tank Summary'!$N$16="y", 'Tank Summary'!$N$15="y"),IF(E54 &lt;= (PI()/4)*$D$10^3, 10.2, 3.58*(E54/$D$12)+6.66), "Tank mixing equations do not apply"))</f>
        <v>Tank mixing equations do not apply</v>
      </c>
      <c r="L54" s="76" t="e">
        <f t="shared" ref="L54:L67" si="5">IF(F54=0,"n/a",((K54/1.13)*$D$13)/((F54*10^6/7.48)^(1/3)))</f>
        <v>#VALUE!</v>
      </c>
      <c r="M54" s="11" t="str">
        <f>IF(ISERROR(H21-H20),"n/a",IF(ISBLANK(E20), H20-H19,H21-H20))</f>
        <v>n/a</v>
      </c>
      <c r="N54" s="47" t="str">
        <f>IF(ISERROR(H21-H20),"n/a",IF(ISBLANK(E20), H21-H20,H20-H19))</f>
        <v>n/a</v>
      </c>
      <c r="O54" s="94"/>
      <c r="Q54" s="481"/>
      <c r="R54" s="481"/>
      <c r="S54" s="481"/>
      <c r="T54" s="481"/>
    </row>
    <row r="55" spans="2:20" x14ac:dyDescent="0.25">
      <c r="B55" s="92">
        <f t="shared" si="3"/>
        <v>0</v>
      </c>
      <c r="C55" s="77">
        <v>3</v>
      </c>
      <c r="D55" s="74">
        <f>IF(ISBLANK(E22),E23,E22)</f>
        <v>0</v>
      </c>
      <c r="E55" s="74">
        <f>IF(ISBLANK(F22),F23,F22)</f>
        <v>0</v>
      </c>
      <c r="F55" s="32" t="str">
        <f t="shared" ref="F55:F67" si="6">IF(OR($D$7="c",$D$7="h"),($D55)*PI()*($D$10/2)^2*7.48/10^6,IF($D$7="r",$D55*$D$10*$D$11*7.48/10^6,IF($D$8="y",$D55/10^6,"error")))</f>
        <v>error</v>
      </c>
      <c r="G55" s="32" t="str">
        <f t="shared" ref="G55:G67" si="7">IF(OR($D$7="c",$D$7="h"),($E55-$D55)*PI()*($D$10/2)^2*7.48/10^6,IF($D$7="r",($E55-$D55)*$D$10*$D$11*7.48/10^6,IF($D$8="y",($E55-$D55)/10^6,"error")))</f>
        <v>error</v>
      </c>
      <c r="H55" s="49" t="str">
        <f t="shared" ref="H55:H67" si="8">IF(D55,IF(OR($D$7="c",$D$7="h"),($E54-$D55)*PI()*($D$10/2)^2*7.48/10^6,IF($D$7="r",($E54-$D55)*$D$10*$D$11*7.48/10^6,IF($D$8="y",($E54-$D55)/10^6,""))),"")</f>
        <v/>
      </c>
      <c r="I55" s="75" t="str">
        <f t="shared" ref="I55:I67" si="9">IF(D55+E55=0,"n/a",IF(OR($D$7="c",$D$7="h"),((D55+E55)/2)*PI()*($D$10/2)^2*7.48/10^6,IF($D$7="r",((D55+E55)/2)*$D$10*$D$11*7.48/10^6,IF($D$8="y",((D55+E55)/2)/10^6,""))))</f>
        <v>n/a</v>
      </c>
      <c r="J55" s="11" t="e">
        <f t="shared" si="4"/>
        <v>#VALUE!</v>
      </c>
      <c r="K55" s="492" t="str">
        <f>IF(AND('Tank Summary'!$N$16="y",'Tank Summary'!$N$15 = "n"), IF(E55&lt;=$D$10, 10.2, 3.58*(E55/$D$10)+6.66), IF(AND('Tank Summary'!$N$16="y", 'Tank Summary'!$N$15="y"),IF(E55 &lt;= (PI()/4)*$D$10^3, 10.2, 3.58*(E55/$D$12)+6.66), "Tank mixing equations do not apply"))</f>
        <v>Tank mixing equations do not apply</v>
      </c>
      <c r="L55" s="76" t="e">
        <f t="shared" si="5"/>
        <v>#VALUE!</v>
      </c>
      <c r="M55" s="11" t="str">
        <f>IF(ISERROR(H23-H22),"n/a",IF(ISBLANK(E22), H22-H21,H23-H22))</f>
        <v>n/a</v>
      </c>
      <c r="N55" s="47" t="str">
        <f>IF(ISERROR(H23-H22),"n/a",IF(ISBLANK(E22), H23-H22,H22-H21))</f>
        <v>n/a</v>
      </c>
      <c r="O55" s="94"/>
      <c r="Q55" s="481"/>
      <c r="R55" s="481"/>
      <c r="S55" s="481"/>
      <c r="T55" s="481"/>
    </row>
    <row r="56" spans="2:20" x14ac:dyDescent="0.25">
      <c r="B56" s="92">
        <f t="shared" si="3"/>
        <v>0</v>
      </c>
      <c r="C56" s="77">
        <v>4</v>
      </c>
      <c r="D56" s="74">
        <f>IF(ISBLANK(E24),E25,E24)</f>
        <v>0</v>
      </c>
      <c r="E56" s="74">
        <f>IF(ISBLANK(F24),F25,F24)</f>
        <v>0</v>
      </c>
      <c r="F56" s="32" t="str">
        <f t="shared" si="6"/>
        <v>error</v>
      </c>
      <c r="G56" s="32" t="str">
        <f t="shared" si="7"/>
        <v>error</v>
      </c>
      <c r="H56" s="49" t="str">
        <f t="shared" si="8"/>
        <v/>
      </c>
      <c r="I56" s="75" t="str">
        <f t="shared" si="9"/>
        <v>n/a</v>
      </c>
      <c r="J56" s="11" t="e">
        <f t="shared" si="4"/>
        <v>#VALUE!</v>
      </c>
      <c r="K56" s="492" t="str">
        <f>IF(AND('Tank Summary'!$N$16="y",'Tank Summary'!$N$15 = "n"), IF(E56&lt;=$D$10, 10.2, 3.58*(E56/$D$10)+6.66), IF(AND('Tank Summary'!$N$16="y", 'Tank Summary'!$N$15="y"),IF(E56 &lt;= (PI()/4)*$D$10^3, 10.2, 3.58*(E56/$D$12)+6.66), "Tank mixing equations do not apply"))</f>
        <v>Tank mixing equations do not apply</v>
      </c>
      <c r="L56" s="76" t="e">
        <f t="shared" si="5"/>
        <v>#VALUE!</v>
      </c>
      <c r="M56" s="11" t="str">
        <f>IF(ISERROR(H25-H24),"n/a",IF(ISBLANK(E24), H24-H23,H25-H24))</f>
        <v>n/a</v>
      </c>
      <c r="N56" s="47" t="str">
        <f>IF(ISERROR(H25-H24),"n/a",IF(ISBLANK(E24), H25-H24,H24-H23))</f>
        <v>n/a</v>
      </c>
      <c r="O56" s="94"/>
      <c r="Q56" s="481"/>
      <c r="R56" s="481"/>
      <c r="S56" s="481"/>
      <c r="T56" s="481"/>
    </row>
    <row r="57" spans="2:20" x14ac:dyDescent="0.25">
      <c r="B57" s="92">
        <f t="shared" si="3"/>
        <v>0</v>
      </c>
      <c r="C57" s="77">
        <v>5</v>
      </c>
      <c r="D57" s="74">
        <f>IF(ISBLANK(E26),E27,E26)</f>
        <v>0</v>
      </c>
      <c r="E57" s="74">
        <f>IF(ISBLANK(F26),F27,F26)</f>
        <v>0</v>
      </c>
      <c r="F57" s="32" t="str">
        <f t="shared" si="6"/>
        <v>error</v>
      </c>
      <c r="G57" s="32" t="str">
        <f t="shared" si="7"/>
        <v>error</v>
      </c>
      <c r="H57" s="49" t="str">
        <f t="shared" si="8"/>
        <v/>
      </c>
      <c r="I57" s="75" t="str">
        <f t="shared" si="9"/>
        <v>n/a</v>
      </c>
      <c r="J57" s="11" t="e">
        <f t="shared" si="4"/>
        <v>#VALUE!</v>
      </c>
      <c r="K57" s="492" t="str">
        <f>IF(AND('Tank Summary'!$N$16="y",'Tank Summary'!$N$15 = "n"), IF(E57&lt;=$D$10, 10.2, 3.58*(E57/$D$10)+6.66), IF(AND('Tank Summary'!$N$16="y", 'Tank Summary'!$N$15="y"),IF(E57 &lt;= (PI()/4)*$D$10^3, 10.2, 3.58*(E57/$D$12)+6.66), "Tank mixing equations do not apply"))</f>
        <v>Tank mixing equations do not apply</v>
      </c>
      <c r="L57" s="76" t="e">
        <f t="shared" si="5"/>
        <v>#VALUE!</v>
      </c>
      <c r="M57" s="11" t="str">
        <f>IF(ISERROR(H27-H26),"n/a",IF(ISBLANK(E26), H26-H25,H27-H26))</f>
        <v>n/a</v>
      </c>
      <c r="N57" s="47" t="str">
        <f>IF(ISERROR(H27-H26),"n/a",IF(ISBLANK(E26), H27-H26,H26-H25))</f>
        <v>n/a</v>
      </c>
      <c r="O57" s="94"/>
      <c r="Q57" s="481"/>
      <c r="R57" s="481"/>
      <c r="S57" s="481"/>
      <c r="T57" s="481"/>
    </row>
    <row r="58" spans="2:20" x14ac:dyDescent="0.25">
      <c r="B58" s="92">
        <f t="shared" si="3"/>
        <v>0</v>
      </c>
      <c r="C58" s="77">
        <v>6</v>
      </c>
      <c r="D58" s="74">
        <f>IF(ISBLANK(E28),E29,E28)</f>
        <v>0</v>
      </c>
      <c r="E58" s="74">
        <f>IF(ISBLANK(F28),F29,F28)</f>
        <v>0</v>
      </c>
      <c r="F58" s="32" t="str">
        <f t="shared" si="6"/>
        <v>error</v>
      </c>
      <c r="G58" s="32" t="str">
        <f t="shared" si="7"/>
        <v>error</v>
      </c>
      <c r="H58" s="49" t="str">
        <f t="shared" si="8"/>
        <v/>
      </c>
      <c r="I58" s="75" t="str">
        <f t="shared" si="9"/>
        <v>n/a</v>
      </c>
      <c r="J58" s="11" t="e">
        <f t="shared" si="4"/>
        <v>#VALUE!</v>
      </c>
      <c r="K58" s="492" t="str">
        <f>IF(AND('Tank Summary'!$N$16="y",'Tank Summary'!$N$15 = "n"), IF(E58&lt;=$D$10, 10.2, 3.58*(E58/$D$10)+6.66), IF(AND('Tank Summary'!$N$16="y", 'Tank Summary'!$N$15="y"),IF(E58 &lt;= (PI()/4)*$D$10^3, 10.2, 3.58*(E58/$D$12)+6.66), "Tank mixing equations do not apply"))</f>
        <v>Tank mixing equations do not apply</v>
      </c>
      <c r="L58" s="76" t="e">
        <f t="shared" si="5"/>
        <v>#VALUE!</v>
      </c>
      <c r="M58" s="11" t="str">
        <f>IF(ISERROR(H29-H28),"n/a",IF(ISBLANK(E28), H28-H27,H29-H28))</f>
        <v>n/a</v>
      </c>
      <c r="N58" s="47" t="str">
        <f>IF(ISERROR(H29-H28),"n/a",IF(ISBLANK(E28), H29-H28,H28-H27))</f>
        <v>n/a</v>
      </c>
      <c r="O58" s="94"/>
      <c r="Q58" s="481"/>
      <c r="R58" s="481"/>
      <c r="S58" s="481"/>
      <c r="T58" s="481"/>
    </row>
    <row r="59" spans="2:20" x14ac:dyDescent="0.25">
      <c r="B59" s="92">
        <f t="shared" si="3"/>
        <v>0</v>
      </c>
      <c r="C59" s="77">
        <v>7</v>
      </c>
      <c r="D59" s="74">
        <f>IF(ISBLANK(E30),E31,E30)</f>
        <v>0</v>
      </c>
      <c r="E59" s="74">
        <f>IF(ISBLANK(F30),F31,F30)</f>
        <v>0</v>
      </c>
      <c r="F59" s="32" t="str">
        <f t="shared" si="6"/>
        <v>error</v>
      </c>
      <c r="G59" s="32" t="str">
        <f t="shared" si="7"/>
        <v>error</v>
      </c>
      <c r="H59" s="49" t="str">
        <f t="shared" si="8"/>
        <v/>
      </c>
      <c r="I59" s="75" t="str">
        <f t="shared" si="9"/>
        <v>n/a</v>
      </c>
      <c r="J59" s="11" t="e">
        <f t="shared" si="4"/>
        <v>#VALUE!</v>
      </c>
      <c r="K59" s="492" t="str">
        <f>IF(AND('Tank Summary'!$N$16="y",'Tank Summary'!$N$15 = "n"), IF(E59&lt;=$D$10, 10.2, 3.58*(E59/$D$10)+6.66), IF(AND('Tank Summary'!$N$16="y", 'Tank Summary'!$N$15="y"),IF(E59 &lt;= (PI()/4)*$D$10^3, 10.2, 3.58*(E59/$D$12)+6.66), "Tank mixing equations do not apply"))</f>
        <v>Tank mixing equations do not apply</v>
      </c>
      <c r="L59" s="76" t="e">
        <f t="shared" si="5"/>
        <v>#VALUE!</v>
      </c>
      <c r="M59" s="11" t="str">
        <f>IF(ISERROR(H31-H30),"n/a",IF(ISBLANK(E30), H30-H29,H31-H30))</f>
        <v>n/a</v>
      </c>
      <c r="N59" s="47" t="str">
        <f>IF(ISERROR(H31-H30),"n/a",IF(ISBLANK(E30), H31-H30,H30-H29))</f>
        <v>n/a</v>
      </c>
      <c r="O59" s="94"/>
      <c r="Q59" s="481"/>
      <c r="R59" s="481"/>
      <c r="S59" s="481"/>
      <c r="T59" s="481"/>
    </row>
    <row r="60" spans="2:20" x14ac:dyDescent="0.25">
      <c r="B60" s="92">
        <f t="shared" si="3"/>
        <v>0</v>
      </c>
      <c r="C60" s="77">
        <v>8</v>
      </c>
      <c r="D60" s="74">
        <f>IF(ISBLANK(E32),E33,E32)</f>
        <v>0</v>
      </c>
      <c r="E60" s="74">
        <f>IF(ISBLANK(F32),F33,F32)</f>
        <v>0</v>
      </c>
      <c r="F60" s="32" t="str">
        <f t="shared" si="6"/>
        <v>error</v>
      </c>
      <c r="G60" s="32" t="str">
        <f t="shared" si="7"/>
        <v>error</v>
      </c>
      <c r="H60" s="49" t="str">
        <f t="shared" si="8"/>
        <v/>
      </c>
      <c r="I60" s="75" t="str">
        <f t="shared" si="9"/>
        <v>n/a</v>
      </c>
      <c r="J60" s="11" t="e">
        <f t="shared" si="4"/>
        <v>#VALUE!</v>
      </c>
      <c r="K60" s="492" t="str">
        <f>IF(AND('Tank Summary'!$N$16="y",'Tank Summary'!$N$15 = "n"), IF(E60&lt;=$D$10, 10.2, 3.58*(E60/$D$10)+6.66), IF(AND('Tank Summary'!$N$16="y", 'Tank Summary'!$N$15="y"),IF(E60 &lt;= (PI()/4)*$D$10^3, 10.2, 3.58*(E60/$D$12)+6.66), "Tank mixing equations do not apply"))</f>
        <v>Tank mixing equations do not apply</v>
      </c>
      <c r="L60" s="76" t="e">
        <f t="shared" si="5"/>
        <v>#VALUE!</v>
      </c>
      <c r="M60" s="11" t="str">
        <f>IF(ISERROR(H33-H32),"n/a",IF(ISBLANK(E32), H32-H31,H33-H32))</f>
        <v>n/a</v>
      </c>
      <c r="N60" s="47" t="str">
        <f>IF(ISERROR(H33-H32),"n/a",IF(ISBLANK(E32), H33-H32,H32-H31))</f>
        <v>n/a</v>
      </c>
      <c r="O60" s="94"/>
      <c r="Q60" s="481"/>
      <c r="R60" s="481"/>
      <c r="S60" s="481"/>
      <c r="T60" s="481"/>
    </row>
    <row r="61" spans="2:20" x14ac:dyDescent="0.25">
      <c r="B61" s="92">
        <f t="shared" si="3"/>
        <v>0</v>
      </c>
      <c r="C61" s="77">
        <v>9</v>
      </c>
      <c r="D61" s="74">
        <f>IF(ISBLANK(E34),E35,E34)</f>
        <v>0</v>
      </c>
      <c r="E61" s="74">
        <f>IF(ISBLANK(F34),F35,F34)</f>
        <v>0</v>
      </c>
      <c r="F61" s="32" t="str">
        <f t="shared" si="6"/>
        <v>error</v>
      </c>
      <c r="G61" s="32" t="str">
        <f t="shared" si="7"/>
        <v>error</v>
      </c>
      <c r="H61" s="49" t="str">
        <f t="shared" si="8"/>
        <v/>
      </c>
      <c r="I61" s="75" t="str">
        <f t="shared" si="9"/>
        <v>n/a</v>
      </c>
      <c r="J61" s="11" t="e">
        <f t="shared" si="4"/>
        <v>#VALUE!</v>
      </c>
      <c r="K61" s="492" t="str">
        <f>IF(AND('Tank Summary'!$N$16="y",'Tank Summary'!$N$15 = "n"), IF(E61&lt;=$D$10, 10.2, 3.58*(E61/$D$10)+6.66), IF(AND('Tank Summary'!$N$16="y", 'Tank Summary'!$N$15="y"),IF(E61 &lt;= (PI()/4)*$D$10^3, 10.2, 3.58*(E61/$D$12)+6.66), "Tank mixing equations do not apply"))</f>
        <v>Tank mixing equations do not apply</v>
      </c>
      <c r="L61" s="76" t="e">
        <f t="shared" si="5"/>
        <v>#VALUE!</v>
      </c>
      <c r="M61" s="11" t="str">
        <f>IF(ISERROR(H35-H34),"n/a",IF(ISBLANK(E34), H34-H33,H35-H34))</f>
        <v>n/a</v>
      </c>
      <c r="N61" s="47" t="str">
        <f>IF(ISERROR(H35-H34),"n/a",IF(ISBLANK(E34), H35-H34,H34-H33))</f>
        <v>n/a</v>
      </c>
      <c r="O61" s="94"/>
      <c r="Q61" s="481"/>
      <c r="R61" s="481"/>
      <c r="S61" s="481"/>
      <c r="T61" s="481"/>
    </row>
    <row r="62" spans="2:20" x14ac:dyDescent="0.25">
      <c r="B62" s="92">
        <f t="shared" si="3"/>
        <v>0</v>
      </c>
      <c r="C62" s="77">
        <v>10</v>
      </c>
      <c r="D62" s="74">
        <f>IF(ISBLANK(E36),E37,E36)</f>
        <v>0</v>
      </c>
      <c r="E62" s="74">
        <f>IF(ISBLANK(F36),F37,F36)</f>
        <v>0</v>
      </c>
      <c r="F62" s="32" t="str">
        <f t="shared" si="6"/>
        <v>error</v>
      </c>
      <c r="G62" s="32" t="str">
        <f t="shared" si="7"/>
        <v>error</v>
      </c>
      <c r="H62" s="49" t="str">
        <f t="shared" si="8"/>
        <v/>
      </c>
      <c r="I62" s="75" t="str">
        <f t="shared" si="9"/>
        <v>n/a</v>
      </c>
      <c r="J62" s="11" t="e">
        <f t="shared" si="4"/>
        <v>#VALUE!</v>
      </c>
      <c r="K62" s="492" t="str">
        <f>IF(AND('Tank Summary'!$N$16="y",'Tank Summary'!$N$15 = "n"), IF(E62&lt;=$D$10, 10.2, 3.58*(E62/$D$10)+6.66), IF(AND('Tank Summary'!$N$16="y", 'Tank Summary'!$N$15="y"),IF(E62 &lt;= (PI()/4)*$D$10^3, 10.2, 3.58*(E62/$D$12)+6.66), "Tank mixing equations do not apply"))</f>
        <v>Tank mixing equations do not apply</v>
      </c>
      <c r="L62" s="76" t="e">
        <f t="shared" si="5"/>
        <v>#VALUE!</v>
      </c>
      <c r="M62" s="11" t="str">
        <f>IF(ISERROR(H37-H36),"n/a",IF(ISBLANK(E36), H36-H35,H37-H36))</f>
        <v>n/a</v>
      </c>
      <c r="N62" s="47" t="str">
        <f>IF(ISERROR(H37-H36),"n/a",IF(ISBLANK(E36), H37-H36,H36-H35))</f>
        <v>n/a</v>
      </c>
      <c r="O62" s="94"/>
      <c r="Q62" s="481"/>
      <c r="R62" s="481"/>
      <c r="S62" s="481"/>
      <c r="T62" s="481"/>
    </row>
    <row r="63" spans="2:20" x14ac:dyDescent="0.25">
      <c r="B63" s="92">
        <f t="shared" si="3"/>
        <v>0</v>
      </c>
      <c r="C63" s="77">
        <v>11</v>
      </c>
      <c r="D63" s="74">
        <f>IF(ISBLANK(E38),E39,E38)</f>
        <v>0</v>
      </c>
      <c r="E63" s="74">
        <f>IF(ISBLANK(F38),F39,F38)</f>
        <v>0</v>
      </c>
      <c r="F63" s="32" t="str">
        <f t="shared" si="6"/>
        <v>error</v>
      </c>
      <c r="G63" s="32" t="str">
        <f t="shared" si="7"/>
        <v>error</v>
      </c>
      <c r="H63" s="49" t="str">
        <f t="shared" si="8"/>
        <v/>
      </c>
      <c r="I63" s="75" t="str">
        <f t="shared" si="9"/>
        <v>n/a</v>
      </c>
      <c r="J63" s="11" t="e">
        <f t="shared" si="4"/>
        <v>#VALUE!</v>
      </c>
      <c r="K63" s="492" t="str">
        <f>IF(AND('Tank Summary'!$N$16="y",'Tank Summary'!$N$15 = "n"), IF(E63&lt;=$D$10, 10.2, 3.58*(E63/$D$10)+6.66), IF(AND('Tank Summary'!$N$16="y", 'Tank Summary'!$N$15="y"),IF(E63 &lt;= (PI()/4)*$D$10^3, 10.2, 3.58*(E63/$D$12)+6.66), "Tank mixing equations do not apply"))</f>
        <v>Tank mixing equations do not apply</v>
      </c>
      <c r="L63" s="76" t="e">
        <f t="shared" si="5"/>
        <v>#VALUE!</v>
      </c>
      <c r="M63" s="11" t="str">
        <f>IF(ISERROR(H39-H38),"n/a",IF(ISBLANK(E38), H38-H37,H39-H38))</f>
        <v>n/a</v>
      </c>
      <c r="N63" s="47" t="str">
        <f>IF(ISERROR(H39-H38),"n/a",IF(ISBLANK(E38), H39-H38,H38-H37))</f>
        <v>n/a</v>
      </c>
      <c r="O63" s="94"/>
      <c r="Q63" s="481"/>
      <c r="R63" s="481"/>
      <c r="S63" s="481"/>
      <c r="T63" s="481"/>
    </row>
    <row r="64" spans="2:20" x14ac:dyDescent="0.25">
      <c r="B64" s="92">
        <f t="shared" si="3"/>
        <v>0</v>
      </c>
      <c r="C64" s="77">
        <v>12</v>
      </c>
      <c r="D64" s="74">
        <f>IF(ISBLANK(E40),E41,E40)</f>
        <v>0</v>
      </c>
      <c r="E64" s="74">
        <f>IF(ISBLANK(F40),F41,F40)</f>
        <v>0</v>
      </c>
      <c r="F64" s="32" t="str">
        <f t="shared" si="6"/>
        <v>error</v>
      </c>
      <c r="G64" s="32" t="str">
        <f t="shared" si="7"/>
        <v>error</v>
      </c>
      <c r="H64" s="49" t="str">
        <f t="shared" si="8"/>
        <v/>
      </c>
      <c r="I64" s="75" t="str">
        <f t="shared" si="9"/>
        <v>n/a</v>
      </c>
      <c r="J64" s="11" t="e">
        <f t="shared" si="4"/>
        <v>#VALUE!</v>
      </c>
      <c r="K64" s="492" t="str">
        <f>IF(AND('Tank Summary'!$N$16="y",'Tank Summary'!$N$15 = "n"), IF(E64&lt;=$D$10, 10.2, 3.58*(E64/$D$10)+6.66), IF(AND('Tank Summary'!$N$16="y", 'Tank Summary'!$N$15="y"),IF(E64 &lt;= (PI()/4)*$D$10^3, 10.2, 3.58*(E64/$D$12)+6.66), "Tank mixing equations do not apply"))</f>
        <v>Tank mixing equations do not apply</v>
      </c>
      <c r="L64" s="76" t="e">
        <f t="shared" si="5"/>
        <v>#VALUE!</v>
      </c>
      <c r="M64" s="11" t="str">
        <f>IF(ISERROR(H41-H40),"n/a",IF(ISBLANK(E40), H40-H39,H41-H40))</f>
        <v>n/a</v>
      </c>
      <c r="N64" s="47" t="str">
        <f>IF(ISERROR(H41-H40),"n/a",IF(ISBLANK(E40), H41-H40,H40-H39))</f>
        <v>n/a</v>
      </c>
      <c r="O64" s="94"/>
      <c r="Q64" s="481"/>
      <c r="R64" s="481"/>
      <c r="S64" s="481"/>
      <c r="T64" s="481"/>
    </row>
    <row r="65" spans="1:20" x14ac:dyDescent="0.25">
      <c r="B65" s="92">
        <f t="shared" si="3"/>
        <v>0</v>
      </c>
      <c r="C65" s="77">
        <v>13</v>
      </c>
      <c r="D65" s="74">
        <f>IF(ISBLANK(E42),E43,E42)</f>
        <v>0</v>
      </c>
      <c r="E65" s="74">
        <f>IF(ISBLANK(F42),F43,F42)</f>
        <v>0</v>
      </c>
      <c r="F65" s="32" t="str">
        <f t="shared" si="6"/>
        <v>error</v>
      </c>
      <c r="G65" s="32" t="str">
        <f t="shared" si="7"/>
        <v>error</v>
      </c>
      <c r="H65" s="49" t="str">
        <f t="shared" si="8"/>
        <v/>
      </c>
      <c r="I65" s="75" t="str">
        <f t="shared" si="9"/>
        <v>n/a</v>
      </c>
      <c r="J65" s="11" t="e">
        <f t="shared" si="4"/>
        <v>#VALUE!</v>
      </c>
      <c r="K65" s="492" t="str">
        <f>IF(AND('Tank Summary'!$N$16="y",'Tank Summary'!$N$15 = "n"), IF(E65&lt;=$D$10, 10.2, 3.58*(E65/$D$10)+6.66), IF(AND('Tank Summary'!$N$16="y", 'Tank Summary'!$N$15="y"),IF(E65 &lt;= (PI()/4)*$D$10^3, 10.2, 3.58*(E65/$D$12)+6.66), "Tank mixing equations do not apply"))</f>
        <v>Tank mixing equations do not apply</v>
      </c>
      <c r="L65" s="76" t="e">
        <f t="shared" si="5"/>
        <v>#VALUE!</v>
      </c>
      <c r="M65" s="11" t="str">
        <f>IF(ISERROR(H43-H42),"n/a",IF(ISBLANK(E42), H42-H41,H43-H42))</f>
        <v>n/a</v>
      </c>
      <c r="N65" s="47" t="str">
        <f>IF(ISERROR(H43-H42),"n/a",IF(ISBLANK(E42), H43-H42,H42-H41))</f>
        <v>n/a</v>
      </c>
      <c r="O65" s="94"/>
      <c r="Q65" s="481"/>
      <c r="R65" s="481"/>
      <c r="S65" s="481"/>
      <c r="T65" s="481"/>
    </row>
    <row r="66" spans="1:20" x14ac:dyDescent="0.25">
      <c r="B66" s="92">
        <f t="shared" si="3"/>
        <v>0</v>
      </c>
      <c r="C66" s="77">
        <v>14</v>
      </c>
      <c r="D66" s="74">
        <f>IF(ISBLANK(E44),E45,E44)</f>
        <v>0</v>
      </c>
      <c r="E66" s="74">
        <f>IF(ISBLANK(F44),F45,F44)</f>
        <v>0</v>
      </c>
      <c r="F66" s="32" t="str">
        <f t="shared" si="6"/>
        <v>error</v>
      </c>
      <c r="G66" s="32" t="str">
        <f t="shared" si="7"/>
        <v>error</v>
      </c>
      <c r="H66" s="49" t="str">
        <f t="shared" si="8"/>
        <v/>
      </c>
      <c r="I66" s="75" t="str">
        <f t="shared" si="9"/>
        <v>n/a</v>
      </c>
      <c r="J66" s="11" t="e">
        <f t="shared" si="4"/>
        <v>#VALUE!</v>
      </c>
      <c r="K66" s="492" t="str">
        <f>IF(AND('Tank Summary'!$N$16="y",'Tank Summary'!$N$15 = "n"), IF(E66&lt;=$D$10, 10.2, 3.58*(E66/$D$10)+6.66), IF(AND('Tank Summary'!$N$16="y", 'Tank Summary'!$N$15="y"),IF(E66 &lt;= (PI()/4)*$D$10^3, 10.2, 3.58*(E66/$D$12)+6.66), "Tank mixing equations do not apply"))</f>
        <v>Tank mixing equations do not apply</v>
      </c>
      <c r="L66" s="76" t="e">
        <f t="shared" si="5"/>
        <v>#VALUE!</v>
      </c>
      <c r="M66" s="11" t="str">
        <f>IF(ISERROR(H45-H44),"n/a",IF(ISBLANK(E44), H44-H43,H45-H44))</f>
        <v>n/a</v>
      </c>
      <c r="N66" s="47" t="str">
        <f>IF(ISERROR(H45-H44),"n/a",IF(ISBLANK(E44), H45-H44,H44-H43))</f>
        <v>n/a</v>
      </c>
      <c r="O66" s="94"/>
      <c r="Q66" s="481"/>
      <c r="R66" s="481"/>
      <c r="S66" s="481"/>
      <c r="T66" s="481"/>
    </row>
    <row r="67" spans="1:20" ht="13" thickBot="1" x14ac:dyDescent="0.3">
      <c r="B67" s="92">
        <f t="shared" si="3"/>
        <v>0</v>
      </c>
      <c r="C67" s="78">
        <v>15</v>
      </c>
      <c r="D67" s="79">
        <f>IF(ISBLANK(E46),E47,E46)</f>
        <v>0</v>
      </c>
      <c r="E67" s="79">
        <f>IF(ISBLANK(F46),F47,F46)</f>
        <v>0</v>
      </c>
      <c r="F67" s="127" t="str">
        <f t="shared" si="6"/>
        <v>error</v>
      </c>
      <c r="G67" s="127" t="str">
        <f t="shared" si="7"/>
        <v>error</v>
      </c>
      <c r="H67" s="128" t="str">
        <f t="shared" si="8"/>
        <v/>
      </c>
      <c r="I67" s="129" t="str">
        <f t="shared" si="9"/>
        <v>n/a</v>
      </c>
      <c r="J67" s="48" t="e">
        <f t="shared" si="4"/>
        <v>#VALUE!</v>
      </c>
      <c r="K67" s="492" t="str">
        <f>IF(AND('Tank Summary'!$N$16="y",'Tank Summary'!$N$15 = "n"), IF(E67&lt;=$D$10, 10.2, 3.58*(E67/$D$10)+6.66), IF(AND('Tank Summary'!$N$16="y", 'Tank Summary'!$N$15="y"),IF(E67 &lt;= (PI()/4)*$D$10^3, 10.2, 3.58*(E67/$D$12)+6.66), "Tank mixing equations do not apply"))</f>
        <v>Tank mixing equations do not apply</v>
      </c>
      <c r="L67" s="48" t="e">
        <f t="shared" si="5"/>
        <v>#VALUE!</v>
      </c>
      <c r="M67" s="48" t="str">
        <f>IF(ISERROR(H47-H46),"n/a",IF(ISBLANK(E46), H46-H45,H47-H46))</f>
        <v>n/a</v>
      </c>
      <c r="N67" s="65" t="str">
        <f>IF(ISERROR(H47-H46),"n/a",IF(ISBLANK(E46), H47-H46,H46-H45))</f>
        <v>n/a</v>
      </c>
      <c r="O67" s="94"/>
      <c r="Q67" s="481"/>
      <c r="R67" s="481"/>
      <c r="S67" s="481"/>
      <c r="T67" s="481"/>
    </row>
    <row r="68" spans="1:20" ht="13" x14ac:dyDescent="0.3">
      <c r="B68" s="92"/>
      <c r="C68" s="8"/>
      <c r="D68" s="25"/>
      <c r="E68" s="26"/>
      <c r="F68" s="26"/>
      <c r="G68" s="26"/>
      <c r="H68" s="26"/>
      <c r="I68" s="27"/>
      <c r="J68" s="27"/>
      <c r="K68" s="27"/>
      <c r="L68" s="8"/>
      <c r="M68" s="98"/>
      <c r="N68" s="8"/>
      <c r="O68" s="94"/>
      <c r="Q68" s="481"/>
      <c r="R68" s="481"/>
      <c r="S68" s="481"/>
      <c r="T68" s="481"/>
    </row>
    <row r="69" spans="1:20" ht="13.5" thickBot="1" x14ac:dyDescent="0.35">
      <c r="A69" s="94"/>
      <c r="B69" s="92"/>
      <c r="C69" s="99" t="s">
        <v>40</v>
      </c>
      <c r="D69" s="8"/>
      <c r="E69" s="8"/>
      <c r="F69" s="8"/>
      <c r="G69" s="27"/>
      <c r="H69" s="366"/>
      <c r="I69" s="366" t="s">
        <v>18</v>
      </c>
      <c r="J69" s="366"/>
      <c r="K69" s="366"/>
      <c r="L69" s="100"/>
      <c r="M69" s="98"/>
      <c r="N69" s="27"/>
      <c r="O69" s="94"/>
      <c r="Q69" s="481"/>
      <c r="R69" s="481"/>
      <c r="S69" s="481"/>
      <c r="T69" s="481"/>
    </row>
    <row r="70" spans="1:20" ht="13" x14ac:dyDescent="0.3">
      <c r="B70" s="92"/>
      <c r="C70" s="57" t="s">
        <v>39</v>
      </c>
      <c r="D70" s="58"/>
      <c r="E70" s="61" t="e">
        <f>SUM(G53:G67)/COUNTIF(G53:G67,"&gt;0")</f>
        <v>#DIV/0!</v>
      </c>
      <c r="F70" s="52" t="s">
        <v>4</v>
      </c>
      <c r="G70" s="27"/>
      <c r="H70" s="7" t="str">
        <f>IF(D8="y","Avg Vol at Start of Fill","Avg Min Water Level")</f>
        <v>Avg Min Water Level</v>
      </c>
      <c r="I70" s="38"/>
      <c r="J70" s="35" t="e">
        <f>IF('Tank Summary'!N16="n","",SUM(D53:D67)/SUM(B53:B67))</f>
        <v>#DIV/0!</v>
      </c>
      <c r="K70" s="15" t="str">
        <f>IF(D8="y","gal","ft")</f>
        <v>ft</v>
      </c>
      <c r="L70" s="8"/>
      <c r="M70" s="8"/>
      <c r="N70" s="98"/>
      <c r="O70" s="94"/>
      <c r="Q70" s="481"/>
      <c r="R70" s="481"/>
      <c r="S70" s="481"/>
      <c r="T70" s="481"/>
    </row>
    <row r="71" spans="1:20" ht="13" x14ac:dyDescent="0.3">
      <c r="B71" s="92"/>
      <c r="C71" s="4" t="s">
        <v>43</v>
      </c>
      <c r="D71" s="55"/>
      <c r="E71" s="2" t="e">
        <f>SUM(H53:H67)/COUNTIF(H53:H67,"&gt;0")</f>
        <v>#DIV/0!</v>
      </c>
      <c r="F71" s="5" t="s">
        <v>5</v>
      </c>
      <c r="G71" s="8"/>
      <c r="H71" s="39" t="s">
        <v>55</v>
      </c>
      <c r="I71" s="37"/>
      <c r="J71" s="36" t="e">
        <f>IF('Tank Summary'!N16="n","",AVERAGE(J53:J67))</f>
        <v>#VALUE!</v>
      </c>
      <c r="K71" s="16"/>
      <c r="L71" s="8"/>
      <c r="M71" s="8"/>
      <c r="N71" s="8"/>
      <c r="O71" s="94"/>
    </row>
    <row r="72" spans="1:20" ht="13" x14ac:dyDescent="0.3">
      <c r="B72" s="92"/>
      <c r="C72" s="39" t="s">
        <v>36</v>
      </c>
      <c r="D72" s="63"/>
      <c r="E72" s="130" t="e">
        <f>AVERAGE(M53:M67)</f>
        <v>#DIV/0!</v>
      </c>
      <c r="F72" s="16" t="s">
        <v>2</v>
      </c>
      <c r="G72" s="8"/>
      <c r="H72" s="39" t="s">
        <v>56</v>
      </c>
      <c r="I72" s="37"/>
      <c r="J72" s="36" t="e">
        <f>IF('Tank Summary'!N16="n","",AVERAGE(L53:L67))</f>
        <v>#VALUE!</v>
      </c>
      <c r="K72" s="16"/>
      <c r="L72" s="8"/>
      <c r="M72" s="8"/>
      <c r="N72" s="8"/>
      <c r="O72" s="94"/>
    </row>
    <row r="73" spans="1:20" ht="13" x14ac:dyDescent="0.3">
      <c r="B73" s="92"/>
      <c r="C73" s="39" t="s">
        <v>37</v>
      </c>
      <c r="D73" s="63"/>
      <c r="E73" s="131" t="e">
        <f>AVERAGE(N53:N67)</f>
        <v>#DIV/0!</v>
      </c>
      <c r="F73" s="62" t="s">
        <v>2</v>
      </c>
      <c r="G73" s="8"/>
      <c r="H73" s="39" t="str">
        <f>IF(D8="y","Avg Measured Vol Change","Avg Measured Water Level Change")</f>
        <v>Avg Measured Water Level Change</v>
      </c>
      <c r="I73" s="37"/>
      <c r="J73" s="83" t="e">
        <f>IF('Tank Summary'!N16="n","",(SUM(E53:E67)/SUM(B53:B67))-J70)</f>
        <v>#DIV/0!</v>
      </c>
      <c r="K73" s="16" t="str">
        <f>IF(D8="y","gal","ft")</f>
        <v>ft</v>
      </c>
      <c r="L73" s="8"/>
      <c r="M73" s="8"/>
      <c r="N73" s="8"/>
      <c r="O73" s="94"/>
    </row>
    <row r="74" spans="1:20" ht="24.75" customHeight="1" x14ac:dyDescent="0.3">
      <c r="B74" s="92"/>
      <c r="C74" s="39" t="s">
        <v>28</v>
      </c>
      <c r="D74" s="63"/>
      <c r="E74" s="34" t="e">
        <f>E70*10^6/(E72*24*60)</f>
        <v>#DIV/0!</v>
      </c>
      <c r="F74" s="41" t="s">
        <v>26</v>
      </c>
      <c r="G74" s="8"/>
      <c r="H74" s="505" t="str">
        <f>IF(D8="y","Desired Vol Change Needed for Good Mixing","Desired Water Level Change Needed for Good Mixing")</f>
        <v>Desired Water Level Change Needed for Good Mixing</v>
      </c>
      <c r="I74" s="506"/>
      <c r="J74" s="45" t="e">
        <f>IF('Tank Summary'!N16="n","",$J$70*J72)</f>
        <v>#DIV/0!</v>
      </c>
      <c r="K74" s="43" t="str">
        <f>IF(D8="y","gal","ft")</f>
        <v>ft</v>
      </c>
      <c r="L74" s="8"/>
      <c r="M74" s="8"/>
      <c r="N74" s="8"/>
      <c r="O74" s="94"/>
    </row>
    <row r="75" spans="1:20" ht="24.75" customHeight="1" x14ac:dyDescent="0.3">
      <c r="B75" s="92"/>
      <c r="C75" s="39" t="s">
        <v>29</v>
      </c>
      <c r="D75" s="63"/>
      <c r="E75" s="34" t="e">
        <f>E71*10^6/(E73*24*60)</f>
        <v>#DIV/0!</v>
      </c>
      <c r="F75" s="41" t="s">
        <v>26</v>
      </c>
      <c r="G75" s="8"/>
      <c r="H75" s="39" t="s">
        <v>57</v>
      </c>
      <c r="I75" s="432"/>
      <c r="J75" s="160" t="e">
        <f>IF('Tank Summary'!N16="n","",J73/J74)</f>
        <v>#DIV/0!</v>
      </c>
      <c r="K75" s="5"/>
      <c r="L75" s="8"/>
      <c r="M75" s="8"/>
      <c r="N75" s="8"/>
      <c r="O75" s="94"/>
    </row>
    <row r="76" spans="1:20" ht="27" customHeight="1" thickBot="1" x14ac:dyDescent="0.35">
      <c r="B76" s="92"/>
      <c r="C76" s="59" t="s">
        <v>38</v>
      </c>
      <c r="D76" s="60"/>
      <c r="E76" s="64" t="e">
        <f>E72+E73</f>
        <v>#DIV/0!</v>
      </c>
      <c r="F76" s="24" t="s">
        <v>2</v>
      </c>
      <c r="G76" s="8"/>
      <c r="H76" s="42" t="s">
        <v>54</v>
      </c>
      <c r="I76" s="431"/>
      <c r="J76" s="44" t="e">
        <f>IF('Tank Summary'!N16="n","",(((((SUM(F53:F67)/SUM(B53:B67))*10^6/7.48)^(1/3))*$J$71)/9)*12)</f>
        <v>#DIV/0!</v>
      </c>
      <c r="K76" s="3" t="s">
        <v>31</v>
      </c>
      <c r="L76" s="8"/>
      <c r="M76" s="8"/>
      <c r="N76" s="8"/>
      <c r="O76" s="94"/>
    </row>
    <row r="77" spans="1:20" ht="14.25" customHeight="1" x14ac:dyDescent="0.3">
      <c r="B77" s="92"/>
      <c r="C77" s="39" t="s">
        <v>53</v>
      </c>
      <c r="D77" s="56"/>
      <c r="E77" s="36" t="e">
        <f>E70/E76</f>
        <v>#DIV/0!</v>
      </c>
      <c r="F77" s="5" t="s">
        <v>3</v>
      </c>
      <c r="G77" s="8"/>
      <c r="H77" s="8"/>
      <c r="I77" s="507" t="str">
        <f>IF('Tank Summary'!N26="no","The tank mixing equations are not applicable.",IF(J73&lt;J74,"Mixing is at an undesirable level, use Mixing Analysis (Section II) to determine strategies that will increase mixing.","Mixing is at a desired level."))</f>
        <v>The tank mixing equations are not applicable.</v>
      </c>
      <c r="J77" s="507"/>
      <c r="K77" s="507"/>
      <c r="L77" s="508"/>
      <c r="M77" s="8"/>
      <c r="N77" s="8"/>
      <c r="O77" s="94"/>
    </row>
    <row r="78" spans="1:20" ht="13" x14ac:dyDescent="0.3">
      <c r="B78" s="92"/>
      <c r="C78" s="39" t="s">
        <v>44</v>
      </c>
      <c r="D78" s="56"/>
      <c r="E78" s="36" t="e">
        <f>AVERAGE(I53:I67)</f>
        <v>#DIV/0!</v>
      </c>
      <c r="F78" s="5" t="s">
        <v>5</v>
      </c>
      <c r="G78" s="8"/>
      <c r="H78" s="8"/>
      <c r="I78" s="508"/>
      <c r="J78" s="508"/>
      <c r="K78" s="508"/>
      <c r="L78" s="508"/>
      <c r="M78" s="8"/>
      <c r="N78" s="8"/>
      <c r="O78" s="94"/>
    </row>
    <row r="79" spans="1:20" ht="13.5" thickBot="1" x14ac:dyDescent="0.35">
      <c r="B79" s="92"/>
      <c r="C79" s="42" t="s">
        <v>8</v>
      </c>
      <c r="D79" s="40"/>
      <c r="E79" s="54" t="e">
        <f>E78/E77</f>
        <v>#DIV/0!</v>
      </c>
      <c r="F79" s="6" t="s">
        <v>2</v>
      </c>
      <c r="G79" s="8"/>
      <c r="H79" s="8"/>
      <c r="I79" s="508"/>
      <c r="J79" s="508"/>
      <c r="K79" s="508"/>
      <c r="L79" s="508"/>
      <c r="M79" s="8"/>
      <c r="N79" s="8"/>
      <c r="O79" s="94"/>
    </row>
    <row r="80" spans="1:20" ht="12.75" customHeight="1" x14ac:dyDescent="0.3">
      <c r="B80" s="92"/>
      <c r="C80" s="93"/>
      <c r="D80" s="503" t="e">
        <f>IF(E79&gt;5, "Turnover time is at an undesirable level, use Turnover Time Analysis (Step 2) to determine operational strategies that will reduce turnover time.","Turnover Time is at a desired level.")</f>
        <v>#DIV/0!</v>
      </c>
      <c r="E80" s="503"/>
      <c r="F80" s="503"/>
      <c r="G80" s="8"/>
      <c r="H80" s="126"/>
      <c r="I80" s="508"/>
      <c r="J80" s="508"/>
      <c r="K80" s="508"/>
      <c r="L80" s="508"/>
      <c r="M80" s="8"/>
      <c r="N80" s="8"/>
      <c r="O80" s="94"/>
    </row>
    <row r="81" spans="2:15" ht="11.25" customHeight="1" x14ac:dyDescent="0.3">
      <c r="B81" s="92"/>
      <c r="C81" s="8"/>
      <c r="D81" s="504"/>
      <c r="E81" s="504"/>
      <c r="F81" s="504"/>
      <c r="G81" s="8"/>
      <c r="H81" s="126"/>
      <c r="I81" s="82"/>
      <c r="J81" s="82"/>
      <c r="K81" s="82"/>
      <c r="L81" s="82"/>
      <c r="M81" s="8"/>
      <c r="N81" s="8"/>
      <c r="O81" s="94"/>
    </row>
    <row r="82" spans="2:15" ht="12.75" customHeight="1" x14ac:dyDescent="0.25">
      <c r="B82" s="92"/>
      <c r="C82" s="8"/>
      <c r="D82" s="504"/>
      <c r="E82" s="504"/>
      <c r="F82" s="504"/>
      <c r="G82" s="8"/>
      <c r="H82" s="8"/>
      <c r="I82" s="8"/>
      <c r="J82" s="29"/>
      <c r="K82" s="29"/>
      <c r="L82" s="8"/>
      <c r="M82" s="8"/>
      <c r="N82" s="8"/>
      <c r="O82" s="94"/>
    </row>
    <row r="83" spans="2:15" ht="16.5" customHeight="1" x14ac:dyDescent="0.25">
      <c r="B83" s="92"/>
      <c r="C83" s="8"/>
      <c r="D83" s="504"/>
      <c r="E83" s="504"/>
      <c r="F83" s="504"/>
      <c r="G83" s="8"/>
      <c r="H83" s="8"/>
      <c r="I83" s="8"/>
      <c r="J83" s="29"/>
      <c r="K83" s="29"/>
      <c r="L83" s="8"/>
      <c r="M83" s="8"/>
      <c r="N83" s="8"/>
      <c r="O83" s="94"/>
    </row>
    <row r="84" spans="2:15" ht="13" thickBot="1" x14ac:dyDescent="0.3">
      <c r="B84" s="101"/>
      <c r="C84" s="102"/>
      <c r="D84" s="102"/>
      <c r="E84" s="102"/>
      <c r="F84" s="102"/>
      <c r="G84" s="102"/>
      <c r="H84" s="102"/>
      <c r="I84" s="102"/>
      <c r="J84" s="102"/>
      <c r="K84" s="102"/>
      <c r="L84" s="102"/>
      <c r="M84" s="102"/>
      <c r="N84" s="102"/>
      <c r="O84" s="103"/>
    </row>
    <row r="85" spans="2:15" ht="18.5" thickBot="1" x14ac:dyDescent="0.45">
      <c r="B85" s="116" t="s">
        <v>188</v>
      </c>
      <c r="C85" s="111"/>
      <c r="D85" s="111"/>
      <c r="E85" s="120"/>
      <c r="F85" s="121"/>
      <c r="G85" s="111"/>
      <c r="H85" s="111"/>
      <c r="I85" s="111"/>
      <c r="J85" s="111"/>
      <c r="K85" s="111"/>
      <c r="L85" s="118"/>
      <c r="M85" s="118"/>
      <c r="N85" s="118"/>
      <c r="O85" s="119"/>
    </row>
    <row r="86" spans="2:15" x14ac:dyDescent="0.25">
      <c r="B86" s="92"/>
      <c r="C86" s="29"/>
      <c r="D86" s="29"/>
      <c r="E86" s="29"/>
      <c r="F86" s="29"/>
      <c r="G86" s="29"/>
      <c r="H86" s="29"/>
      <c r="I86" s="29"/>
      <c r="J86" s="29"/>
      <c r="K86" s="29"/>
      <c r="L86" s="8"/>
      <c r="M86" s="8"/>
      <c r="N86" s="8"/>
      <c r="O86" s="94"/>
    </row>
    <row r="87" spans="2:15" ht="13" x14ac:dyDescent="0.3">
      <c r="B87" s="92"/>
      <c r="C87" s="95" t="s">
        <v>65</v>
      </c>
      <c r="D87" s="29"/>
      <c r="E87" s="29"/>
      <c r="F87" s="29"/>
      <c r="G87" s="29"/>
      <c r="H87" s="29"/>
      <c r="I87" s="29"/>
      <c r="J87" s="29"/>
      <c r="K87" s="29"/>
      <c r="L87" s="8"/>
      <c r="M87" s="8"/>
      <c r="N87" s="8"/>
      <c r="O87" s="94"/>
    </row>
    <row r="88" spans="2:15" ht="13" x14ac:dyDescent="0.3">
      <c r="B88" s="92"/>
      <c r="C88" s="95" t="s">
        <v>207</v>
      </c>
      <c r="D88" s="29"/>
      <c r="E88" s="29"/>
      <c r="F88" s="29"/>
      <c r="G88" s="29"/>
      <c r="H88" s="29"/>
      <c r="I88" s="29"/>
      <c r="J88" s="29"/>
      <c r="K88" s="29"/>
      <c r="L88" s="8"/>
      <c r="M88" s="8"/>
      <c r="N88" s="8"/>
      <c r="O88" s="94"/>
    </row>
    <row r="89" spans="2:15" ht="13" x14ac:dyDescent="0.3">
      <c r="B89" s="92"/>
      <c r="C89" s="95"/>
      <c r="D89" s="29"/>
      <c r="E89" s="29"/>
      <c r="F89" s="29"/>
      <c r="G89" s="29"/>
      <c r="H89" s="29"/>
      <c r="I89" s="29"/>
      <c r="J89" s="29"/>
      <c r="K89" s="29"/>
      <c r="L89" s="8"/>
      <c r="M89" s="8"/>
      <c r="N89" s="8"/>
      <c r="O89" s="94"/>
    </row>
    <row r="90" spans="2:15" ht="13" x14ac:dyDescent="0.3">
      <c r="B90" s="92"/>
      <c r="C90" s="95" t="s">
        <v>77</v>
      </c>
      <c r="D90" s="29"/>
      <c r="E90" s="29"/>
      <c r="F90" s="29"/>
      <c r="G90" s="29"/>
      <c r="H90" s="29"/>
      <c r="I90" s="29"/>
      <c r="J90" s="29"/>
      <c r="K90" s="29"/>
      <c r="L90" s="8"/>
      <c r="M90" s="8"/>
      <c r="N90" s="8"/>
      <c r="O90" s="94"/>
    </row>
    <row r="91" spans="2:15" ht="13" x14ac:dyDescent="0.3">
      <c r="B91" s="92"/>
      <c r="C91" s="344" t="s">
        <v>294</v>
      </c>
      <c r="D91" s="488"/>
      <c r="E91" s="488"/>
      <c r="F91" s="488"/>
      <c r="G91" s="488"/>
      <c r="H91" s="29"/>
      <c r="I91" s="29"/>
      <c r="J91" s="29"/>
      <c r="K91" s="29"/>
      <c r="L91" s="8"/>
      <c r="M91" s="8"/>
      <c r="N91" s="8"/>
      <c r="O91" s="94"/>
    </row>
    <row r="92" spans="2:15" ht="13" x14ac:dyDescent="0.3">
      <c r="B92" s="92"/>
      <c r="C92" s="95"/>
      <c r="D92" s="29"/>
      <c r="E92" s="29"/>
      <c r="F92" s="29"/>
      <c r="G92" s="29"/>
      <c r="H92" s="29"/>
      <c r="I92" s="29"/>
      <c r="J92" s="29"/>
      <c r="K92" s="29"/>
      <c r="L92" s="8"/>
      <c r="M92" s="8"/>
      <c r="N92" s="8"/>
      <c r="O92" s="94"/>
    </row>
    <row r="93" spans="2:15" ht="13" x14ac:dyDescent="0.3">
      <c r="B93" s="92"/>
      <c r="C93" s="95" t="s">
        <v>280</v>
      </c>
      <c r="D93" s="29"/>
      <c r="E93" s="29"/>
      <c r="F93" s="29"/>
      <c r="G93" s="29"/>
      <c r="H93" s="29"/>
      <c r="I93" s="29"/>
      <c r="J93" s="29"/>
      <c r="K93" s="29"/>
      <c r="L93" s="8"/>
      <c r="M93" s="8"/>
      <c r="N93" s="8"/>
      <c r="O93" s="94"/>
    </row>
    <row r="94" spans="2:15" ht="13" x14ac:dyDescent="0.3">
      <c r="B94" s="92"/>
      <c r="C94" s="95"/>
      <c r="D94" s="29"/>
      <c r="E94" s="29"/>
      <c r="F94" s="29"/>
      <c r="G94" s="29"/>
      <c r="H94" s="29"/>
      <c r="I94" s="29"/>
      <c r="J94" s="29"/>
      <c r="K94" s="29"/>
      <c r="L94" s="8"/>
      <c r="M94" s="8"/>
      <c r="N94" s="8"/>
      <c r="O94" s="94"/>
    </row>
    <row r="95" spans="2:15" ht="13" x14ac:dyDescent="0.3">
      <c r="B95" s="92"/>
      <c r="C95" s="29"/>
      <c r="D95" s="133" t="s">
        <v>27</v>
      </c>
      <c r="E95" s="81" t="s">
        <v>45</v>
      </c>
      <c r="F95" s="81" t="s">
        <v>46</v>
      </c>
      <c r="G95" s="81" t="s">
        <v>47</v>
      </c>
      <c r="H95" s="81" t="s">
        <v>48</v>
      </c>
      <c r="I95" s="81" t="s">
        <v>49</v>
      </c>
      <c r="J95" s="29"/>
      <c r="K95" s="29"/>
      <c r="L95" s="8"/>
      <c r="M95" s="8"/>
      <c r="N95" s="8"/>
      <c r="O95" s="94"/>
    </row>
    <row r="96" spans="2:15" ht="13" x14ac:dyDescent="0.3">
      <c r="B96" s="92"/>
      <c r="C96" s="122" t="str">
        <f>IF(OR($D$7="c",D7="h"), "Tank diameter", IF($D$7="r","Longest Sidewall Length",""))</f>
        <v/>
      </c>
      <c r="D96" s="31">
        <f>'Tank#3'!D10</f>
        <v>0</v>
      </c>
      <c r="E96" s="66">
        <f>$D$96</f>
        <v>0</v>
      </c>
      <c r="F96" s="66">
        <f>$D$96</f>
        <v>0</v>
      </c>
      <c r="G96" s="66">
        <f>$D$96</f>
        <v>0</v>
      </c>
      <c r="H96" s="66">
        <f>$D$96</f>
        <v>0</v>
      </c>
      <c r="I96" s="66">
        <f>$D$96</f>
        <v>0</v>
      </c>
      <c r="J96" s="95" t="str">
        <f>IF(D8="y","","ft")</f>
        <v>ft</v>
      </c>
      <c r="K96" s="95"/>
      <c r="L96" s="8"/>
      <c r="M96" s="8"/>
      <c r="N96" s="8"/>
      <c r="O96" s="94"/>
    </row>
    <row r="97" spans="2:15" ht="13" x14ac:dyDescent="0.3">
      <c r="B97" s="92"/>
      <c r="C97" s="95" t="str">
        <f>IF(OR($D$7="c",D7="h"),"",IF($D$7="r","Shortest Sidewall Length",""))</f>
        <v/>
      </c>
      <c r="D97" s="33">
        <f>'Tank#3'!D11</f>
        <v>0</v>
      </c>
      <c r="E97" s="66">
        <f>$D$97</f>
        <v>0</v>
      </c>
      <c r="F97" s="66">
        <f>$D$97</f>
        <v>0</v>
      </c>
      <c r="G97" s="66">
        <f>$D$97</f>
        <v>0</v>
      </c>
      <c r="H97" s="66">
        <f>$D$97</f>
        <v>0</v>
      </c>
      <c r="I97" s="66">
        <f>$D$97</f>
        <v>0</v>
      </c>
      <c r="J97" s="95" t="str">
        <f>IF(D8="y","","ft")</f>
        <v>ft</v>
      </c>
      <c r="K97" s="95"/>
      <c r="L97" s="8"/>
      <c r="M97" s="8"/>
      <c r="N97" s="8"/>
      <c r="O97" s="94"/>
    </row>
    <row r="98" spans="2:15" ht="13" x14ac:dyDescent="0.3">
      <c r="B98" s="92"/>
      <c r="C98" s="346" t="s">
        <v>30</v>
      </c>
      <c r="D98" s="124">
        <f>'Tank#3'!D13</f>
        <v>0</v>
      </c>
      <c r="E98" s="345"/>
      <c r="F98" s="345"/>
      <c r="G98" s="345"/>
      <c r="H98" s="345"/>
      <c r="I98" s="345"/>
      <c r="J98" s="95" t="s">
        <v>1</v>
      </c>
      <c r="K98" s="95"/>
      <c r="L98" s="8"/>
      <c r="M98" s="8"/>
      <c r="N98" s="8"/>
      <c r="O98" s="94"/>
    </row>
    <row r="99" spans="2:15" ht="13" x14ac:dyDescent="0.3">
      <c r="B99" s="92"/>
      <c r="C99" s="346" t="str">
        <f>IF(D8="y","Fraction Full (Max Level)","High/Max Level")</f>
        <v>High/Max Level</v>
      </c>
      <c r="D99" s="80" t="b">
        <f>IF(OR($D$7="c",$D$7="r",$D$7="h"),(SUM(E53:E67)/COUNTIF(E53:E67,"&gt;0")),IF($D$8="y",(SUM(E53:E67)/COUNTIF(E53:E67,"&gt;0"))/($D$6*10^6)))</f>
        <v>0</v>
      </c>
      <c r="E99" s="345"/>
      <c r="F99" s="345"/>
      <c r="G99" s="345"/>
      <c r="H99" s="345"/>
      <c r="I99" s="345"/>
      <c r="J99" s="95" t="str">
        <f>IF(D8="y","","ft")</f>
        <v>ft</v>
      </c>
      <c r="K99" s="95"/>
      <c r="L99" s="8"/>
      <c r="M99" s="8"/>
      <c r="N99" s="8"/>
      <c r="O99" s="94"/>
    </row>
    <row r="100" spans="2:15" ht="13" x14ac:dyDescent="0.3">
      <c r="B100" s="92"/>
      <c r="C100" s="346" t="str">
        <f>IF(D8="y","Fraction Full (Min Level)","Low/Min Level")</f>
        <v>Low/Min Level</v>
      </c>
      <c r="D100" s="80" t="b">
        <f>IF(OR($D$7="c",$D$7="r",$D$7="s",$D$7="h"),(SUM(D53:D67)/COUNTIF(D53:D67,"&gt;0")),IF($D$8="y",(SUM(D53:D67)/COUNTIF(D53:D67,"&gt;0"))/($D$6*10^6)))</f>
        <v>0</v>
      </c>
      <c r="E100" s="345"/>
      <c r="F100" s="345"/>
      <c r="G100" s="345"/>
      <c r="H100" s="345"/>
      <c r="I100" s="345"/>
      <c r="J100" s="95" t="str">
        <f>IF(D8="y","","ft")</f>
        <v>ft</v>
      </c>
      <c r="K100" s="95"/>
      <c r="L100" s="8"/>
      <c r="M100" s="8"/>
      <c r="N100" s="8"/>
      <c r="O100" s="94"/>
    </row>
    <row r="101" spans="2:15" ht="15.5" x14ac:dyDescent="0.35">
      <c r="B101" s="92"/>
      <c r="C101" s="125" t="str">
        <f>IF(OR(D7="c", D7="r",D7="h"),"H/D ratio","")</f>
        <v/>
      </c>
      <c r="D101" s="490" t="str">
        <f t="shared" ref="D101:I101" si="10">IF(OR($D$7="c", $D$7="r",$D$7="h"),D99/D96,"")</f>
        <v/>
      </c>
      <c r="E101" s="124" t="str">
        <f t="shared" si="10"/>
        <v/>
      </c>
      <c r="F101" s="124" t="str">
        <f t="shared" si="10"/>
        <v/>
      </c>
      <c r="G101" s="124" t="str">
        <f t="shared" si="10"/>
        <v/>
      </c>
      <c r="H101" s="124" t="str">
        <f t="shared" si="10"/>
        <v/>
      </c>
      <c r="I101" s="124" t="str">
        <f t="shared" si="10"/>
        <v/>
      </c>
      <c r="J101" s="134"/>
      <c r="K101" s="148"/>
      <c r="L101" s="8"/>
      <c r="M101" s="8"/>
      <c r="N101" s="8"/>
      <c r="O101" s="94"/>
    </row>
    <row r="102" spans="2:15" ht="13" x14ac:dyDescent="0.3">
      <c r="B102" s="92"/>
      <c r="C102" s="123" t="str">
        <f>IF(D8="y","Actual Vol Change","Actual Level Change")</f>
        <v>Actual Level Change</v>
      </c>
      <c r="D102" s="124" t="e">
        <f>'Tank#3'!J73</f>
        <v>#DIV/0!</v>
      </c>
      <c r="E102" s="80" t="str">
        <f>IF(OR($D$7="c",$D$7="h",$D$7="r"),E99-E100,IF($D$8="y",($D$6*10^6)*(E99-E100),""))</f>
        <v/>
      </c>
      <c r="F102" s="80" t="str">
        <f>IF(OR($D$7="c",$D$7="h",$D$7="r"),F99-F100,IF($D$8="y",($D$6*10^6)*(F99-F100),""))</f>
        <v/>
      </c>
      <c r="G102" s="80" t="str">
        <f>IF(OR($D$7="c",$D$7="h",$D$7="r"),G99-G100,IF($D$8="y",($D$6*10^6)*(G99-G100),""))</f>
        <v/>
      </c>
      <c r="H102" s="80" t="str">
        <f>IF(OR($D$7="c",$D$7="h",$D$7="r"),H99-H100,IF($D$8="y",($D$6*10^6)*(H99-H100),""))</f>
        <v/>
      </c>
      <c r="I102" s="80" t="str">
        <f>IF(OR($D$7="c",$D$7="h",$D$7="r"),I99-I100,IF($D$8="y",($D$6*10^6)*(I99-I100),""))</f>
        <v/>
      </c>
      <c r="J102" s="95" t="str">
        <f>IF(OR(D7="c",D7="r"),"ft",IF(AND(D7="n",D8="y"),"gal",""))</f>
        <v/>
      </c>
      <c r="K102" s="95"/>
      <c r="L102" s="8"/>
      <c r="M102" s="8"/>
      <c r="N102" s="8"/>
      <c r="O102" s="94"/>
    </row>
    <row r="103" spans="2:15" ht="13" x14ac:dyDescent="0.3">
      <c r="B103" s="92"/>
      <c r="C103" s="123" t="s">
        <v>94</v>
      </c>
      <c r="D103" s="494" t="e">
        <f>IF('Tank Summary'!$K$16="y",IF((D99/$D$10)&lt;=1,10.2,(3.58*(D99/$D$10)+6.66)),"Tank mixing equations do not apply")</f>
        <v>#DIV/0!</v>
      </c>
      <c r="E103" s="494" t="e">
        <f>IF('Tank Summary'!$K$16="y",IF((E99/$D$10)&lt;=1,10.2,(3.58*(E99/$D$10)+6.66)),"Tank mixing equations do not apply")</f>
        <v>#DIV/0!</v>
      </c>
      <c r="F103" s="494" t="e">
        <f>IF('Tank Summary'!$K$16="y",IF((F99/$D$10)&lt;=1,10.2,(3.58*(F99/$D$10)+6.66)),"Tank mixing equations do not apply")</f>
        <v>#DIV/0!</v>
      </c>
      <c r="G103" s="494" t="e">
        <f>IF('Tank Summary'!$K$16="y",IF((G99/$D$10)&lt;=1,10.2,(3.58*(G99/$D$10)+6.66)),"Tank mixing equations do not apply")</f>
        <v>#DIV/0!</v>
      </c>
      <c r="H103" s="494" t="e">
        <f>IF('Tank Summary'!$K$16="y",IF((H99/$D$10)&lt;=1,10.2,(3.58*(H99/$D$10)+6.66)),"Tank mixing equations do not apply")</f>
        <v>#DIV/0!</v>
      </c>
      <c r="I103" s="494" t="e">
        <f>IF('Tank Summary'!$K$16="y",IF((I99/$D$10)&lt;=1,10.2,(3.58*(I99/$D$10)+6.66)),"Tank mixing equations do not apply")</f>
        <v>#DIV/0!</v>
      </c>
      <c r="J103" s="95"/>
      <c r="K103" s="95"/>
      <c r="L103" s="8"/>
      <c r="M103" s="8"/>
      <c r="N103" s="8"/>
      <c r="O103" s="94"/>
    </row>
    <row r="104" spans="2:15" ht="26" x14ac:dyDescent="0.3">
      <c r="B104" s="92"/>
      <c r="C104" s="123" t="str">
        <f>IF(D8="y","Desired Vol Change Needed for Good Mixing","Desired Level Change Needed for Good Mixing")</f>
        <v>Desired Level Change Needed for Good Mixing</v>
      </c>
      <c r="D104" s="124" t="e">
        <f>'Tank#3'!J74</f>
        <v>#DIV/0!</v>
      </c>
      <c r="E104" s="80" t="str">
        <f>IF(OR($D$7="c",$D$7="h"),(((E103/1.13)*E98)/((E100*PI()*(E96/2)^2)^(1/3)))*E100,IF($D$7="r",(((E103/1.13)*E98)/((E100*E96*E97)^(1/3)))*E100,IF($D$8="y",(((E103/1.13)*E98)/(((E100*$D$6*10^6)/7.480519)^(1/3)))*(E100*$D$6*10^6),"")))</f>
        <v/>
      </c>
      <c r="F104" s="80" t="str">
        <f>IF(OR($D$7="c",$D$7="h"),(((F103/1.13)*F98)/((F100*PI()*(F96/2)^2)^(1/3)))*F100,IF($D$7="r",(((F103/1.13)*F98)/((F100*F96*F97)^(1/3)))*F100,IF($D$8="y",(((F103/1.13)*F98)/(((F100*$D$6*10^6)/7.480519)^(1/3)))*(F100*$D$6*10^6),"")))</f>
        <v/>
      </c>
      <c r="G104" s="80" t="str">
        <f>IF(OR($D$7="c",$D$7="h"),(((G103/1.13)*G98)/((G100*PI()*(G96/2)^2)^(1/3)))*G100,IF($D$7="r",(((G103/1.13)*G98)/((G100*G96*G97)^(1/3)))*G100,IF($D$8="y",(((G103/1.13)*G98)/(((G100*$D$6*10^6)/7.480519)^(1/3)))*(G100*$D$6*10^6),"")))</f>
        <v/>
      </c>
      <c r="H104" s="80" t="str">
        <f>IF(OR($D$7="c",$D$7="h"),(((H103/1.13)*H98)/((H100*PI()*(H96/2)^2)^(1/3)))*H100,IF($D$7="r",(((H103/1.13)*H98)/((H100*H96*H97)^(1/3)))*H100,IF($D$8="y",(((H103/1.13)*H98)/(((H100*$D$6*10^6)/7.480519)^(1/3)))*(H100*$D$6*10^6),"")))</f>
        <v/>
      </c>
      <c r="I104" s="80" t="str">
        <f>IF(OR($D$7="c",$D$7="h"),(((I103/1.13)*I98)/((I100*PI()*(I96/2)^2)^(1/3)))*I100,IF($D$7="r",(((I103/1.13)*I98)/((I100*I96*I97)^(1/3)))*I100,IF($D$8="y",(((I103/1.13)*I98)/(((I100*$D$6*10^6)/7.480519)^(1/3)))*(I100*$D$6*10^6),"")))</f>
        <v/>
      </c>
      <c r="J104" s="95" t="str">
        <f>IF(OR(D7="c",D7="r"),"ft",IF(AND(D7="n",D8="y"),"gal",""))</f>
        <v/>
      </c>
      <c r="K104" s="95"/>
      <c r="L104" s="8"/>
      <c r="M104" s="8"/>
      <c r="N104" s="8"/>
      <c r="O104" s="94"/>
    </row>
    <row r="105" spans="2:15" ht="39" customHeight="1" x14ac:dyDescent="0.3">
      <c r="B105" s="92"/>
      <c r="C105" s="105" t="str">
        <f>IF(D8="y","","Pressure Drop After Change in Min Water Level")</f>
        <v>Pressure Drop After Change in Min Water Level</v>
      </c>
      <c r="D105" s="12"/>
      <c r="E105" s="12">
        <f>IF($D$8="y","",($D$100-E100)/2.31)</f>
        <v>0</v>
      </c>
      <c r="F105" s="12">
        <f>IF($D$8="y","",($D$100-F100)/2.31)</f>
        <v>0</v>
      </c>
      <c r="G105" s="12">
        <f>IF($D$8="y","",($D$100-G100)/2.31)</f>
        <v>0</v>
      </c>
      <c r="H105" s="12">
        <f>IF($D$8="y","",($D$100-H100)/2.31)</f>
        <v>0</v>
      </c>
      <c r="I105" s="12">
        <f>IF($D$8="y","",($D$100-I100)/2.31)</f>
        <v>0</v>
      </c>
      <c r="J105" s="95" t="str">
        <f>IF(OR(D7="c",D7="r",D7="h"),"psi",IF(AND(D7="n",D8="y"),"",""))</f>
        <v/>
      </c>
      <c r="K105" s="95"/>
      <c r="L105" s="8"/>
      <c r="M105" s="8"/>
      <c r="N105" s="8"/>
      <c r="O105" s="94"/>
    </row>
    <row r="106" spans="2:15" ht="13" x14ac:dyDescent="0.3">
      <c r="B106" s="92"/>
      <c r="C106" s="123" t="s">
        <v>287</v>
      </c>
      <c r="D106" s="33" t="e">
        <f>'Tank#3'!E74</f>
        <v>#DIV/0!</v>
      </c>
      <c r="E106" s="33" t="e">
        <f>D106</f>
        <v>#DIV/0!</v>
      </c>
      <c r="F106" s="33" t="e">
        <f>E106</f>
        <v>#DIV/0!</v>
      </c>
      <c r="G106" s="33" t="e">
        <f>F106</f>
        <v>#DIV/0!</v>
      </c>
      <c r="H106" s="159" t="e">
        <f>G106</f>
        <v>#DIV/0!</v>
      </c>
      <c r="I106" s="159" t="e">
        <f>H106</f>
        <v>#DIV/0!</v>
      </c>
      <c r="J106" s="95" t="s">
        <v>26</v>
      </c>
      <c r="K106" s="95"/>
      <c r="L106" s="8"/>
      <c r="M106" s="8"/>
      <c r="N106" s="8"/>
      <c r="O106" s="94"/>
    </row>
    <row r="107" spans="2:15" ht="26" x14ac:dyDescent="0.3">
      <c r="B107" s="92"/>
      <c r="C107" s="105" t="s">
        <v>286</v>
      </c>
      <c r="D107" s="33" t="e">
        <f>'Tank#3'!E75</f>
        <v>#DIV/0!</v>
      </c>
      <c r="E107" s="33" t="e">
        <f>D107</f>
        <v>#DIV/0!</v>
      </c>
      <c r="F107" s="33" t="e">
        <f>D107</f>
        <v>#DIV/0!</v>
      </c>
      <c r="G107" s="33" t="e">
        <f>D107</f>
        <v>#DIV/0!</v>
      </c>
      <c r="H107" s="159" t="e">
        <f>D107</f>
        <v>#DIV/0!</v>
      </c>
      <c r="I107" s="159" t="e">
        <f>D107</f>
        <v>#DIV/0!</v>
      </c>
      <c r="J107" s="95" t="s">
        <v>26</v>
      </c>
      <c r="K107" s="95"/>
      <c r="L107" s="8"/>
      <c r="M107" s="8"/>
      <c r="N107" s="8"/>
      <c r="O107" s="94"/>
    </row>
    <row r="108" spans="2:15" ht="13" x14ac:dyDescent="0.3">
      <c r="B108" s="92"/>
      <c r="C108" s="123" t="s">
        <v>36</v>
      </c>
      <c r="D108" s="11" t="e">
        <f>'Tank#3'!E72</f>
        <v>#DIV/0!</v>
      </c>
      <c r="E108" s="11" t="e">
        <f>ROUND(IF(OR($D$7="c",$D$7="h"),(E99-E100)*PI()*((E96/2)^2)*7.480519/(E106*24*60),IF($D$7="r",(E99-E100)*E96*E97*7.480519/(E106*24*60),IF($D$8="y",((E99*$D$6*10^6)-(E100*$D$6*10^6))/(E106*24*60),""))),2)</f>
        <v>#VALUE!</v>
      </c>
      <c r="F108" s="11" t="e">
        <f>ROUND(IF(OR($D$7="c",$D$7="h"),(F99-F100)*PI()*((F96/2)^2)*7.480519/(F106*24*60),IF($D$7="r",(F99-F100)*F96*F97*7.480519/(F106*24*60),IF($D$8="y",((F99*$D$6*10^6)-(F100*$D$6*10^6))/(F106*24*60),""))),2)</f>
        <v>#VALUE!</v>
      </c>
      <c r="G108" s="11" t="e">
        <f>ROUND(IF(OR($D$7="c",$D$7="h"),(G99-G100)*PI()*((G96/2)^2)*7.480519/(G106*24*60),IF($D$7="r",(G99-G100)*G96*G97*7.480519/(G106*24*60),IF($D$8="y",((G99*$D$6*10^6)-(G100*$D$6*10^6))/(G106*24*60),""))),2)</f>
        <v>#VALUE!</v>
      </c>
      <c r="H108" s="11" t="e">
        <f>ROUND(IF(OR($D$7="c",$D$7="h"),(H99-H100)*PI()*((H96/2)^2)*7.480519/(H106*24*60),IF($D$7="r",(H99-H100)*H96*H97*7.480519/(H106*24*60),IF($D$8="y",((H99*$D$6*10^6)-(H100*$D$6*10^6))/(H106*24*60),""))),2)</f>
        <v>#VALUE!</v>
      </c>
      <c r="I108" s="11" t="e">
        <f>ROUND(IF(OR($D$7="c",$D$7="h"),(I99-I100)*PI()*((I96/2)^2)*7.480519/(I106*24*60),IF($D$7="r",(I99-I100)*I96*I97*7.480519/(I106*24*60),IF($D$8="y",((I99*$D$6*10^6)-(I100*$D$6*10^6))/(I106*24*60),""))),2)</f>
        <v>#VALUE!</v>
      </c>
      <c r="J108" s="95" t="s">
        <v>2</v>
      </c>
      <c r="K108" s="95"/>
      <c r="L108" s="8"/>
      <c r="M108" s="8"/>
      <c r="N108" s="8"/>
      <c r="O108" s="94"/>
    </row>
    <row r="109" spans="2:15" ht="13" x14ac:dyDescent="0.3">
      <c r="B109" s="92"/>
      <c r="C109" s="105" t="s">
        <v>37</v>
      </c>
      <c r="D109" s="11" t="e">
        <f>'Tank#3'!E73</f>
        <v>#DIV/0!</v>
      </c>
      <c r="E109" s="11" t="e">
        <f>ROUND(IF(OR($D$7="c",$D$7="h"),(E99-E100)*PI()*((E96/2)^2)*7.480519/(E107*24*60),IF($D$7="r",(E99-E100)*E96*E97*7.480519/(E107*24*60),IF($D$8="y",((E99*$D$6*10^6)-(E100*$D$6*10^6))/(E107*24*60),""))),2)</f>
        <v>#VALUE!</v>
      </c>
      <c r="F109" s="11" t="e">
        <f>ROUND(IF(OR($D$7="c",$D$7="h"),(F99-F100)*PI()*((F96/2)^2)*7.480519/(F107*24*60),IF($D$7="r",(F99-F100)*F96*F97*7.480519/(F107*24*60),IF($D$8="y",((F99*$D$6*10^6)-(F100*$D$6*10^6))/(F107*24*60),""))),2)</f>
        <v>#VALUE!</v>
      </c>
      <c r="G109" s="11" t="e">
        <f>ROUND(IF(OR($D$7="c",$D$7="h"),(G99-G100)*PI()*((G96/2)^2)*7.480519/(G107*24*60),IF($D$7="r",(G99-G100)*G96*G97*7.480519/(G107*24*60),IF($D$8="y",((G99*$D$6*10^6)-(G100*$D$6*10^6))/(G107*24*60),""))),2)</f>
        <v>#VALUE!</v>
      </c>
      <c r="H109" s="11" t="e">
        <f>ROUND(IF(OR($D$7="c",$D$7="h"),(H99-H100)*PI()*((H96/2)^2)*7.480519/(H107*24*60),IF($D$7="r",(H99-H100)*H96*H97*7.480519/(H107*24*60),IF($D$8="y",((H99*$D$6*10^6)-(H100*$D$6*10^6))/(H107*24*60),""))),2)</f>
        <v>#VALUE!</v>
      </c>
      <c r="I109" s="11" t="e">
        <f>ROUND(IF(OR($D$7="c",$D$7="h"),(I99-I100)*PI()*((I96/2)^2)*7.480519/(I107*24*60),IF($D$7="r",(I99-I100)*I96*I97*7.480519/(I107*24*60),IF($D$8="y",((I99*$D$6*10^6)-(I100*$D$6*10^6))/(I107*24*60),""))),2)</f>
        <v>#VALUE!</v>
      </c>
      <c r="J109" s="95" t="s">
        <v>2</v>
      </c>
      <c r="K109" s="95"/>
      <c r="L109" s="8"/>
      <c r="M109" s="8"/>
      <c r="N109" s="8"/>
      <c r="O109" s="94"/>
    </row>
    <row r="110" spans="2:15" ht="26" x14ac:dyDescent="0.3">
      <c r="B110" s="92"/>
      <c r="C110" s="123" t="s">
        <v>288</v>
      </c>
      <c r="D110" s="11" t="e">
        <f>'Tank#3'!E70</f>
        <v>#DIV/0!</v>
      </c>
      <c r="E110" s="11" t="str">
        <f>IF(OR($D$7="c",$D$7="h"),(E99-E100)*PI()*((E96/2)^2)*7.480519/10^6,IF($D$7="r",(E99-E100)*E96*E97*7.480519/10^6,IF($D$8="y",((E99*$D$6*10^6)-(E100*$D$6*10^6))/10^6,"")))</f>
        <v/>
      </c>
      <c r="F110" s="11" t="str">
        <f>IF(OR($D$7="c",$D$7="h"),(F99-F100)*PI()*((F96/2)^2)*7.480519/10^6,IF($D$7="r",(F99-F100)*F96*F97*7.480519/10^6,IF($D$8="y",((F99*$D$6*10^6)-(F100*$D$6*10^6))/10^6,"")))</f>
        <v/>
      </c>
      <c r="G110" s="11" t="str">
        <f>IF(OR($D$7="c",$D$7="h"),(G99-G100)*PI()*((G96/2)^2)*7.480519/10^6,IF($D$7="r",(G99-G100)*G96*G97*7.480519/10^6,IF($D$8="y",((G99*$D$6*10^6)-(G100*$D$6*10^6))/10^6,"")))</f>
        <v/>
      </c>
      <c r="H110" s="11" t="str">
        <f>IF(OR($D$7="c",$D$7="h"),(H99-H100)*PI()*((H96/2)^2)*7.480519/10^6,IF($D$7="r",(H99-H100)*H96*H97*7.480519/10^6,IF($D$8="y",((H99*$D$6*10^6)-(H100*$D$6*10^6))/10^6,"")))</f>
        <v/>
      </c>
      <c r="I110" s="11" t="str">
        <f>IF(OR($D$7="c",$D$7="h"),(I99-I100)*PI()*((I96/2)^2)*7.480519/10^6,IF($D$7="r",(I99-I100)*I96*I97*7.480519/10^6,IF($D$8="y",((I99*$D$6*10^6)-(I100*$D$6*10^6))/10^6,"")))</f>
        <v/>
      </c>
      <c r="J110" s="95" t="s">
        <v>5</v>
      </c>
      <c r="K110" s="95"/>
      <c r="L110" s="8"/>
      <c r="M110" s="8"/>
      <c r="N110" s="8"/>
      <c r="O110" s="94"/>
    </row>
    <row r="111" spans="2:15" ht="13" x14ac:dyDescent="0.3">
      <c r="B111" s="92"/>
      <c r="C111" s="105" t="s">
        <v>52</v>
      </c>
      <c r="D111" s="11" t="e">
        <f>'Tank#3'!E76</f>
        <v>#DIV/0!</v>
      </c>
      <c r="E111" s="11" t="e">
        <f>E109+E108</f>
        <v>#VALUE!</v>
      </c>
      <c r="F111" s="11" t="e">
        <f>F109+F108</f>
        <v>#VALUE!</v>
      </c>
      <c r="G111" s="11" t="e">
        <f>G109+G108</f>
        <v>#VALUE!</v>
      </c>
      <c r="H111" s="11" t="e">
        <f>H109+H108</f>
        <v>#VALUE!</v>
      </c>
      <c r="I111" s="11" t="e">
        <f>I109+I108</f>
        <v>#VALUE!</v>
      </c>
      <c r="J111" s="95" t="s">
        <v>2</v>
      </c>
      <c r="K111" s="95"/>
      <c r="L111" s="8"/>
      <c r="M111" s="8"/>
      <c r="N111" s="8"/>
      <c r="O111" s="94"/>
    </row>
    <row r="112" spans="2:15" ht="13" x14ac:dyDescent="0.3">
      <c r="B112" s="92"/>
      <c r="C112" s="123" t="s">
        <v>289</v>
      </c>
      <c r="D112" s="11" t="e">
        <f>'Tank#3'!$E$77</f>
        <v>#DIV/0!</v>
      </c>
      <c r="E112" s="32" t="e">
        <f>E110/E111</f>
        <v>#VALUE!</v>
      </c>
      <c r="F112" s="32" t="e">
        <f>F110/F111</f>
        <v>#VALUE!</v>
      </c>
      <c r="G112" s="32" t="e">
        <f>G110/G111</f>
        <v>#VALUE!</v>
      </c>
      <c r="H112" s="32" t="e">
        <f>H110/H111</f>
        <v>#VALUE!</v>
      </c>
      <c r="I112" s="32" t="e">
        <f>I110/I111</f>
        <v>#VALUE!</v>
      </c>
      <c r="J112" s="95" t="s">
        <v>3</v>
      </c>
      <c r="K112" s="95"/>
      <c r="L112" s="8"/>
      <c r="M112" s="8"/>
      <c r="N112" s="8"/>
      <c r="O112" s="94"/>
    </row>
    <row r="113" spans="2:15" ht="13" x14ac:dyDescent="0.3">
      <c r="B113" s="92"/>
      <c r="C113" s="105" t="s">
        <v>44</v>
      </c>
      <c r="D113" s="11" t="e">
        <f>'Tank#3'!$E$78</f>
        <v>#DIV/0!</v>
      </c>
      <c r="E113" s="32" t="str">
        <f>IF(OR($D$7="c",$D$7="h"),((E99+E100)/2)*PI()*((E96/2)^2)*7.480519/10^6,IF($D$7="r",((E99+E100)/2)*E96*E97*7.480519/10^6,IF($D$8="y",(((E99*$D$6*10^6)+(E100*$D$6*10^6))/2)/10^6,"")))</f>
        <v/>
      </c>
      <c r="F113" s="32" t="str">
        <f>IF(OR($D$7="c",$D$7="h"),((F99+F100)/2)*PI()*((F96/2)^2)*7.480519/10^6,IF($D$7="r",((F99+F100)/2)*F96*F97*7.480519/10^6,IF($D$8="y",(((F99*$D$6*10^6)+(F100*$D$6*10^6))/2)/10^6,"")))</f>
        <v/>
      </c>
      <c r="G113" s="32" t="str">
        <f>IF(OR($D$7="c",$D$7="h"),((G99+G100)/2)*PI()*((G96/2)^2)*7.480519/10^6,IF($D$7="r",((G99+G100)/2)*G96*G97*7.480519/10^6,IF($D$8="y",(((G99*$D$6*10^6)+(G100*$D$6*10^6))/2)/10^6,"")))</f>
        <v/>
      </c>
      <c r="H113" s="32" t="str">
        <f>IF(OR($D$7="c",$D$7="h"),((H99+H100)/2)*PI()*((H96/2)^2)*7.480519/10^6,IF($D$7="r",((H99+H100)/2)*H96*H97*7.480519/10^6,IF($D$8="y",(((H99*$D$6*10^6)+(H100*$D$6*10^6))/2)/10^6,"")))</f>
        <v/>
      </c>
      <c r="I113" s="32" t="str">
        <f>IF(OR($D$7="c",$D$7="h"),((I99+I100)/2)*PI()*((I96/2)^2)*7.480519/10^6,IF($D$7="r",((I99+I100)/2)*I96*I97*7.480519/10^6,IF($D$8="y",(((I99*$D$6*10^6)+(I100*$D$6*10^6))/2)/10^6,"")))</f>
        <v/>
      </c>
      <c r="J113" s="95" t="s">
        <v>5</v>
      </c>
      <c r="K113" s="95"/>
      <c r="L113" s="8"/>
      <c r="M113" s="8"/>
      <c r="N113" s="8"/>
      <c r="O113" s="94"/>
    </row>
    <row r="114" spans="2:15" ht="26" x14ac:dyDescent="0.3">
      <c r="B114" s="92"/>
      <c r="C114" s="137" t="s">
        <v>57</v>
      </c>
      <c r="D114" s="138" t="e">
        <f>'Tank#3'!J75</f>
        <v>#DIV/0!</v>
      </c>
      <c r="E114" s="139" t="e">
        <f>E102/E104</f>
        <v>#VALUE!</v>
      </c>
      <c r="F114" s="139" t="e">
        <f>F102/F104</f>
        <v>#VALUE!</v>
      </c>
      <c r="G114" s="139" t="e">
        <f>G102/G104</f>
        <v>#VALUE!</v>
      </c>
      <c r="H114" s="139" t="e">
        <f>H102/H104</f>
        <v>#VALUE!</v>
      </c>
      <c r="I114" s="139" t="e">
        <f>I102/I104</f>
        <v>#VALUE!</v>
      </c>
      <c r="J114" s="95"/>
      <c r="K114" s="95"/>
      <c r="L114" s="8"/>
      <c r="M114" s="8"/>
      <c r="N114" s="8"/>
      <c r="O114" s="94"/>
    </row>
    <row r="115" spans="2:15" ht="13" x14ac:dyDescent="0.3">
      <c r="B115" s="92"/>
      <c r="C115" s="137" t="s">
        <v>8</v>
      </c>
      <c r="D115" s="140" t="e">
        <f>'Tank#3'!$E$79</f>
        <v>#DIV/0!</v>
      </c>
      <c r="E115" s="140" t="e">
        <f>E113/E112</f>
        <v>#VALUE!</v>
      </c>
      <c r="F115" s="140" t="e">
        <f>F113/F112</f>
        <v>#VALUE!</v>
      </c>
      <c r="G115" s="140" t="e">
        <f>G113/G112</f>
        <v>#VALUE!</v>
      </c>
      <c r="H115" s="140" t="e">
        <f>H113/H112</f>
        <v>#VALUE!</v>
      </c>
      <c r="I115" s="140" t="e">
        <f>I113/I112</f>
        <v>#VALUE!</v>
      </c>
      <c r="J115" s="95" t="s">
        <v>2</v>
      </c>
      <c r="K115" s="95"/>
      <c r="L115" s="8"/>
      <c r="M115" s="8"/>
      <c r="N115" s="8"/>
      <c r="O115" s="94"/>
    </row>
    <row r="116" spans="2:15" ht="13.5" thickBot="1" x14ac:dyDescent="0.35">
      <c r="B116" s="101"/>
      <c r="C116" s="102"/>
      <c r="D116" s="102"/>
      <c r="E116" s="102"/>
      <c r="F116" s="102"/>
      <c r="G116" s="106"/>
      <c r="H116" s="106"/>
      <c r="I116" s="107"/>
      <c r="J116" s="102"/>
      <c r="K116" s="102"/>
      <c r="L116" s="102"/>
      <c r="M116" s="102"/>
      <c r="N116" s="102"/>
      <c r="O116" s="103"/>
    </row>
    <row r="117" spans="2:15" ht="18.5" hidden="1" thickBot="1" x14ac:dyDescent="0.45">
      <c r="B117" s="116" t="s">
        <v>191</v>
      </c>
      <c r="C117" s="111"/>
      <c r="D117" s="120"/>
      <c r="E117" s="111"/>
      <c r="F117" s="111"/>
      <c r="G117" s="111"/>
      <c r="H117" s="111"/>
      <c r="I117" s="111"/>
      <c r="J117" s="111"/>
      <c r="K117" s="111"/>
      <c r="L117" s="118"/>
      <c r="M117" s="118"/>
      <c r="N117" s="118"/>
      <c r="O117" s="119"/>
    </row>
    <row r="118" spans="2:15" hidden="1" x14ac:dyDescent="0.25">
      <c r="B118" s="149"/>
      <c r="C118" s="104"/>
      <c r="D118" s="104"/>
      <c r="E118" s="104"/>
      <c r="F118" s="104"/>
      <c r="G118" s="104"/>
      <c r="H118" s="104"/>
      <c r="I118" s="104"/>
      <c r="J118" s="104"/>
      <c r="K118" s="104"/>
      <c r="L118" s="90"/>
      <c r="M118" s="90"/>
      <c r="N118" s="90"/>
      <c r="O118" s="91"/>
    </row>
    <row r="119" spans="2:15" ht="13" hidden="1" x14ac:dyDescent="0.3">
      <c r="B119" s="92"/>
      <c r="C119" s="95" t="s">
        <v>86</v>
      </c>
      <c r="D119" s="29"/>
      <c r="E119" s="29"/>
      <c r="F119" s="29"/>
      <c r="G119" s="29"/>
      <c r="H119" s="29"/>
      <c r="I119" s="29"/>
      <c r="J119" s="29"/>
      <c r="K119" s="29"/>
      <c r="L119" s="8"/>
      <c r="M119" s="8"/>
      <c r="N119" s="8"/>
      <c r="O119" s="94"/>
    </row>
    <row r="120" spans="2:15" ht="13" hidden="1" x14ac:dyDescent="0.3">
      <c r="B120" s="92"/>
      <c r="C120" s="95" t="s">
        <v>88</v>
      </c>
      <c r="D120" s="29"/>
      <c r="E120" s="29"/>
      <c r="F120" s="29"/>
      <c r="G120" s="29"/>
      <c r="H120" s="29"/>
      <c r="I120" s="29"/>
      <c r="J120" s="29"/>
      <c r="K120" s="29"/>
      <c r="L120" s="8"/>
      <c r="M120" s="8"/>
      <c r="N120" s="8"/>
      <c r="O120" s="94"/>
    </row>
    <row r="121" spans="2:15" ht="13" hidden="1" x14ac:dyDescent="0.3">
      <c r="B121" s="92"/>
      <c r="C121" s="95" t="s">
        <v>89</v>
      </c>
      <c r="D121" s="29"/>
      <c r="E121" s="29"/>
      <c r="F121" s="29"/>
      <c r="G121" s="29"/>
      <c r="H121" s="29"/>
      <c r="I121" s="29"/>
      <c r="J121" s="29"/>
      <c r="K121" s="29"/>
      <c r="L121" s="8"/>
      <c r="M121" s="8"/>
      <c r="N121" s="8"/>
      <c r="O121" s="94"/>
    </row>
    <row r="122" spans="2:15" ht="13" hidden="1" x14ac:dyDescent="0.3">
      <c r="B122" s="92"/>
      <c r="C122" s="95" t="s">
        <v>90</v>
      </c>
      <c r="D122" s="29"/>
      <c r="E122" s="29"/>
      <c r="F122" s="29"/>
      <c r="G122" s="29"/>
      <c r="H122" s="29"/>
      <c r="I122" s="29"/>
      <c r="J122" s="29"/>
      <c r="K122" s="29"/>
      <c r="L122" s="8"/>
      <c r="M122" s="8"/>
      <c r="N122" s="8"/>
      <c r="O122" s="94"/>
    </row>
    <row r="123" spans="2:15" ht="13" hidden="1" x14ac:dyDescent="0.3">
      <c r="B123" s="92"/>
      <c r="C123" s="113"/>
      <c r="D123" s="29"/>
      <c r="E123" s="29"/>
      <c r="F123" s="29"/>
      <c r="G123" s="29"/>
      <c r="H123" s="29"/>
      <c r="I123" s="29"/>
      <c r="J123" s="29"/>
      <c r="K123" s="29"/>
      <c r="L123" s="8"/>
      <c r="M123" s="8"/>
      <c r="N123" s="8"/>
      <c r="O123" s="94"/>
    </row>
    <row r="124" spans="2:15" ht="39" hidden="1" x14ac:dyDescent="0.3">
      <c r="B124" s="92"/>
      <c r="C124" s="29"/>
      <c r="D124" s="133" t="s">
        <v>79</v>
      </c>
      <c r="E124" s="81" t="s">
        <v>45</v>
      </c>
      <c r="F124" s="81" t="s">
        <v>46</v>
      </c>
      <c r="G124" s="81" t="s">
        <v>47</v>
      </c>
      <c r="H124" s="81" t="s">
        <v>48</v>
      </c>
      <c r="I124" s="81" t="s">
        <v>49</v>
      </c>
      <c r="J124" s="29"/>
      <c r="K124" s="29"/>
      <c r="L124" s="8"/>
      <c r="M124" s="8"/>
      <c r="N124" s="8"/>
      <c r="O124" s="94"/>
    </row>
    <row r="125" spans="2:15" ht="13" hidden="1" x14ac:dyDescent="0.3">
      <c r="B125" s="92"/>
      <c r="C125" s="123" t="str">
        <f>IF(D49="y","Fraction Full (Max Level)","High/Max Level")</f>
        <v>High/Max Level</v>
      </c>
      <c r="D125" s="132" t="b">
        <f>IF(OR($D$7="c",$D$7="r",D7="h"),(SUM(E53:E67)/COUNTIF(E53:E67,"&gt;0")),IF($D$8="y",(SUM(E53:E67)/COUNTIF(E53:E67,"&gt;0"))/($D$6*10^6)))</f>
        <v>0</v>
      </c>
      <c r="E125" s="135">
        <f t="shared" ref="E125:I126" si="11">E99</f>
        <v>0</v>
      </c>
      <c r="F125" s="135">
        <f t="shared" si="11"/>
        <v>0</v>
      </c>
      <c r="G125" s="135">
        <f t="shared" si="11"/>
        <v>0</v>
      </c>
      <c r="H125" s="135">
        <f t="shared" si="11"/>
        <v>0</v>
      </c>
      <c r="I125" s="135">
        <f t="shared" si="11"/>
        <v>0</v>
      </c>
      <c r="J125" s="95" t="str">
        <f>IF(D49="y","","ft")</f>
        <v>ft</v>
      </c>
      <c r="K125" s="95"/>
      <c r="L125" s="8"/>
      <c r="M125" s="8"/>
      <c r="N125" s="8"/>
      <c r="O125" s="94"/>
    </row>
    <row r="126" spans="2:15" ht="13" hidden="1" x14ac:dyDescent="0.3">
      <c r="B126" s="92"/>
      <c r="C126" s="123" t="str">
        <f>IF(D49="y","Fraction Full (Min Level)","Low/Min Level")</f>
        <v>Low/Min Level</v>
      </c>
      <c r="D126" s="132" t="b">
        <f>IF(OR($D$7="c",$D$7="r",D7="h"),(SUM(D53:D67)/COUNTIF(D53:D67,"&gt;0")),IF($D$8="y",(SUM(D53:D67)/COUNTIF(D53:D67,"&gt;0"))/($D$6*10^6)))</f>
        <v>0</v>
      </c>
      <c r="E126" s="135">
        <f t="shared" si="11"/>
        <v>0</v>
      </c>
      <c r="F126" s="135">
        <f t="shared" si="11"/>
        <v>0</v>
      </c>
      <c r="G126" s="135">
        <f t="shared" si="11"/>
        <v>0</v>
      </c>
      <c r="H126" s="135">
        <f t="shared" si="11"/>
        <v>0</v>
      </c>
      <c r="I126" s="135">
        <f t="shared" si="11"/>
        <v>0</v>
      </c>
      <c r="J126" s="95" t="str">
        <f>IF(D49="y","","ft")</f>
        <v>ft</v>
      </c>
      <c r="K126" s="95"/>
      <c r="L126" s="8"/>
      <c r="M126" s="8"/>
      <c r="N126" s="8"/>
      <c r="O126" s="94"/>
    </row>
    <row r="127" spans="2:15" ht="24.75" hidden="1" customHeight="1" x14ac:dyDescent="0.3">
      <c r="B127" s="92"/>
      <c r="C127" s="137" t="s">
        <v>87</v>
      </c>
      <c r="D127" s="141" t="e">
        <f>D114</f>
        <v>#DIV/0!</v>
      </c>
      <c r="E127" s="141" t="e">
        <f t="shared" ref="E127:I128" si="12">E114</f>
        <v>#VALUE!</v>
      </c>
      <c r="F127" s="141" t="e">
        <f t="shared" si="12"/>
        <v>#VALUE!</v>
      </c>
      <c r="G127" s="141" t="e">
        <f t="shared" si="12"/>
        <v>#VALUE!</v>
      </c>
      <c r="H127" s="141" t="e">
        <f t="shared" si="12"/>
        <v>#VALUE!</v>
      </c>
      <c r="I127" s="141" t="e">
        <f t="shared" si="12"/>
        <v>#VALUE!</v>
      </c>
      <c r="J127" s="95"/>
      <c r="K127" s="95"/>
      <c r="L127" s="8"/>
      <c r="M127" s="8"/>
      <c r="N127" s="8"/>
      <c r="O127" s="94"/>
    </row>
    <row r="128" spans="2:15" ht="13" hidden="1" x14ac:dyDescent="0.3">
      <c r="B128" s="92"/>
      <c r="C128" s="137" t="s">
        <v>8</v>
      </c>
      <c r="D128" s="142" t="e">
        <f>D115</f>
        <v>#DIV/0!</v>
      </c>
      <c r="E128" s="140" t="e">
        <f t="shared" si="12"/>
        <v>#VALUE!</v>
      </c>
      <c r="F128" s="140" t="e">
        <f t="shared" si="12"/>
        <v>#VALUE!</v>
      </c>
      <c r="G128" s="140" t="e">
        <f t="shared" si="12"/>
        <v>#VALUE!</v>
      </c>
      <c r="H128" s="140" t="e">
        <f t="shared" si="12"/>
        <v>#VALUE!</v>
      </c>
      <c r="I128" s="140" t="e">
        <f t="shared" si="12"/>
        <v>#VALUE!</v>
      </c>
      <c r="J128" s="95" t="s">
        <v>2</v>
      </c>
      <c r="K128" s="95"/>
      <c r="L128" s="8"/>
      <c r="M128" s="8"/>
      <c r="N128" s="8"/>
      <c r="O128" s="94"/>
    </row>
    <row r="129" spans="2:15" ht="39" hidden="1" x14ac:dyDescent="0.3">
      <c r="B129" s="92"/>
      <c r="C129" s="161" t="s">
        <v>84</v>
      </c>
      <c r="D129" s="146">
        <v>0.14929999999999999</v>
      </c>
      <c r="E129" s="162">
        <f>D129</f>
        <v>0.14929999999999999</v>
      </c>
      <c r="F129" s="162">
        <f>D129</f>
        <v>0.14929999999999999</v>
      </c>
      <c r="G129" s="162">
        <f>D129</f>
        <v>0.14929999999999999</v>
      </c>
      <c r="H129" s="162">
        <f>D129</f>
        <v>0.14929999999999999</v>
      </c>
      <c r="I129" s="162">
        <f>D129</f>
        <v>0.14929999999999999</v>
      </c>
      <c r="J129" s="95" t="s">
        <v>76</v>
      </c>
      <c r="K129" s="95"/>
      <c r="L129" s="8"/>
      <c r="M129" s="8"/>
      <c r="N129" s="8"/>
      <c r="O129" s="94"/>
    </row>
    <row r="130" spans="2:15" ht="26" hidden="1" x14ac:dyDescent="0.3">
      <c r="B130" s="92"/>
      <c r="C130" s="123" t="s">
        <v>80</v>
      </c>
      <c r="D130" s="124" t="e">
        <f>SUM(F53:F67)/COUNTIF(F53:F67,"&gt;0")</f>
        <v>#DIV/0!</v>
      </c>
      <c r="E130" s="124" t="str">
        <f>IF(OR($D$7="c",$D$7="h"),(E100)*PI()*($D$10/2)^2*7.48/10^6,IF($D$7="r",E100*$D$10*$D$11*7.48/10^6,IF($D$8="y",E100/10^6,"error")))</f>
        <v>error</v>
      </c>
      <c r="F130" s="124" t="str">
        <f>IF(OR($D$7="c",$D$7="h"),(F100)*PI()*($D$10/2)^2*7.48/10^6,IF($D$7="r",F100*$D$10*$D$11*7.48/10^6,IF($D$8="y",F100/10^6,"error")))</f>
        <v>error</v>
      </c>
      <c r="G130" s="124" t="str">
        <f>IF(OR($D$7="c",$D$7="h"),(G100)*PI()*($D$10/2)^2*7.48/10^6,IF($D$7="r",G100*$D$10*$D$11*7.48/10^6,IF($D$8="y",G100/10^6,"error")))</f>
        <v>error</v>
      </c>
      <c r="H130" s="124" t="str">
        <f>IF(OR($D$7="c",$D$7="h"),(H100)*PI()*($D$10/2)^2*7.48/10^6,IF($D$7="r",H100*$D$10*$D$11*7.48/10^6,IF($D$8="y",H100/10^6,"error")))</f>
        <v>error</v>
      </c>
      <c r="I130" s="124" t="str">
        <f>IF(OR($D$7="c",$D$7="h"),(I100)*PI()*($D$10/2)^2*7.48/10^6,IF($D$7="r",I100*$D$10*$D$11*7.48/10^6,IF($D$8="y",I100/10^6,"error")))</f>
        <v>error</v>
      </c>
      <c r="J130" s="95" t="s">
        <v>5</v>
      </c>
      <c r="K130" s="95"/>
      <c r="L130" s="8"/>
      <c r="M130" s="8"/>
      <c r="N130" s="8"/>
      <c r="O130" s="94"/>
    </row>
    <row r="131" spans="2:15" ht="39" hidden="1" x14ac:dyDescent="0.3">
      <c r="B131" s="92"/>
      <c r="C131" s="125" t="s">
        <v>81</v>
      </c>
      <c r="D131" s="124" t="e">
        <f>SUM(F53:F67)/COUNTIF(F53:F67,"&gt;0")+SUM(G53:G67)/COUNTIF(G53:G67,"&gt;0")</f>
        <v>#DIV/0!</v>
      </c>
      <c r="E131" s="11" t="str">
        <f>IF(OR($D$7="c",$D$7="h"),(E99)*PI()*($D$10/2)^2*7.48/10^6,IF($D$7="r",E99*$D$10*$D$11*7.48/10^6,IF($D$8="y",E99/10^6,"error")))</f>
        <v>error</v>
      </c>
      <c r="F131" s="11" t="str">
        <f>IF(OR($D$7="c",$D$7="h"),(F99)*PI()*($D$10/2)^2*7.48/10^6,IF($D$7="r",F99*$D$10*$D$11*7.48/10^6,IF($D$8="y",F99/10^6,"error")))</f>
        <v>error</v>
      </c>
      <c r="G131" s="11" t="str">
        <f>IF(OR($D$7="c",$D$7="h"),(G99)*PI()*($D$10/2)^2*7.48/10^6,IF($D$7="r",G99*$D$10*$D$11*7.48/10^6,IF($D$8="y",G99/10^6,"error")))</f>
        <v>error</v>
      </c>
      <c r="H131" s="11" t="str">
        <f>IF(OR($D$7="c",$D$7="h"),(H99)*PI()*($D$10/2)^2*7.48/10^6,IF($D$7="r",H99*$D$10*$D$11*7.48/10^6,IF($D$8="y",H99/10^6,"error")))</f>
        <v>error</v>
      </c>
      <c r="I131" s="11" t="str">
        <f>IF(OR($D$7="c",$D$7="h"),(I99)*PI()*($D$10/2)^2*7.48/10^6,IF($D$7="r",I99*$D$10*$D$11*7.48/10^6,IF($D$8="y",I99/10^6,"error")))</f>
        <v>error</v>
      </c>
      <c r="J131" s="95" t="s">
        <v>5</v>
      </c>
      <c r="K131" s="95"/>
      <c r="L131" s="8"/>
      <c r="M131" s="8"/>
      <c r="N131" s="8"/>
      <c r="O131" s="94"/>
    </row>
    <row r="132" spans="2:15" ht="13" hidden="1" x14ac:dyDescent="0.3">
      <c r="B132" s="92"/>
      <c r="C132" s="123" t="s">
        <v>83</v>
      </c>
      <c r="D132" s="124" t="e">
        <f t="shared" ref="D132:I133" si="13">D108</f>
        <v>#DIV/0!</v>
      </c>
      <c r="E132" s="124" t="e">
        <f t="shared" si="13"/>
        <v>#VALUE!</v>
      </c>
      <c r="F132" s="124" t="e">
        <f t="shared" si="13"/>
        <v>#VALUE!</v>
      </c>
      <c r="G132" s="124" t="e">
        <f t="shared" si="13"/>
        <v>#VALUE!</v>
      </c>
      <c r="H132" s="124" t="e">
        <f t="shared" si="13"/>
        <v>#VALUE!</v>
      </c>
      <c r="I132" s="124" t="e">
        <f t="shared" si="13"/>
        <v>#VALUE!</v>
      </c>
      <c r="J132" s="95" t="s">
        <v>2</v>
      </c>
      <c r="K132" s="95"/>
      <c r="L132" s="8"/>
      <c r="M132" s="8"/>
      <c r="N132" s="8"/>
      <c r="O132" s="94"/>
    </row>
    <row r="133" spans="2:15" ht="13" hidden="1" x14ac:dyDescent="0.3">
      <c r="B133" s="92"/>
      <c r="C133" s="123" t="s">
        <v>82</v>
      </c>
      <c r="D133" s="132" t="e">
        <f t="shared" si="13"/>
        <v>#DIV/0!</v>
      </c>
      <c r="E133" s="132" t="e">
        <f t="shared" si="13"/>
        <v>#VALUE!</v>
      </c>
      <c r="F133" s="132" t="e">
        <f t="shared" si="13"/>
        <v>#VALUE!</v>
      </c>
      <c r="G133" s="132" t="e">
        <f t="shared" si="13"/>
        <v>#VALUE!</v>
      </c>
      <c r="H133" s="132" t="e">
        <f t="shared" si="13"/>
        <v>#VALUE!</v>
      </c>
      <c r="I133" s="132" t="e">
        <f t="shared" si="13"/>
        <v>#VALUE!</v>
      </c>
      <c r="J133" s="95" t="s">
        <v>2</v>
      </c>
      <c r="K133" s="95"/>
      <c r="L133" s="8"/>
      <c r="M133" s="8"/>
      <c r="N133" s="8"/>
      <c r="O133" s="94"/>
    </row>
    <row r="134" spans="2:15" ht="39" hidden="1" x14ac:dyDescent="0.3">
      <c r="B134" s="92"/>
      <c r="C134" s="123" t="s">
        <v>91</v>
      </c>
      <c r="D134" s="144" t="e">
        <f t="shared" ref="D134:I134" si="14">(D130/(D131-D130))*(D133+D132)+D133+D132*(1-((D130/(D131-D130))-ROUNDDOWN((D130/(D131-D130)),0)))</f>
        <v>#DIV/0!</v>
      </c>
      <c r="E134" s="144" t="e">
        <f t="shared" si="14"/>
        <v>#VALUE!</v>
      </c>
      <c r="F134" s="144" t="e">
        <f t="shared" si="14"/>
        <v>#VALUE!</v>
      </c>
      <c r="G134" s="144" t="e">
        <f t="shared" si="14"/>
        <v>#VALUE!</v>
      </c>
      <c r="H134" s="144" t="e">
        <f t="shared" si="14"/>
        <v>#VALUE!</v>
      </c>
      <c r="I134" s="144" t="e">
        <f t="shared" si="14"/>
        <v>#VALUE!</v>
      </c>
      <c r="J134" s="95" t="s">
        <v>2</v>
      </c>
      <c r="K134" s="95"/>
      <c r="L134" s="8"/>
      <c r="M134" s="8"/>
      <c r="N134" s="8"/>
      <c r="O134" s="94"/>
    </row>
    <row r="135" spans="2:15" ht="40.5" hidden="1" customHeight="1" x14ac:dyDescent="0.3">
      <c r="B135" s="92"/>
      <c r="C135" s="161" t="s">
        <v>85</v>
      </c>
      <c r="D135" s="146">
        <v>1.57</v>
      </c>
      <c r="E135" s="163">
        <f>D135</f>
        <v>1.57</v>
      </c>
      <c r="F135" s="163">
        <f>D135</f>
        <v>1.57</v>
      </c>
      <c r="G135" s="163">
        <f>D135</f>
        <v>1.57</v>
      </c>
      <c r="H135" s="163">
        <f>D135</f>
        <v>1.57</v>
      </c>
      <c r="I135" s="163">
        <f>D135</f>
        <v>1.57</v>
      </c>
      <c r="J135" s="95" t="s">
        <v>78</v>
      </c>
      <c r="K135" s="95"/>
      <c r="L135" s="8"/>
      <c r="M135" s="8"/>
      <c r="N135" s="8"/>
      <c r="O135" s="94"/>
    </row>
    <row r="136" spans="2:15" ht="41" hidden="1" x14ac:dyDescent="0.3">
      <c r="B136" s="92"/>
      <c r="C136" s="143" t="s">
        <v>109</v>
      </c>
      <c r="D136" s="145" t="e">
        <f t="shared" ref="D136:I136" si="15">((EXP(-D129*D133)-EXP(-D129*(D132+D133)))*D135)/(D129*D132*(1+(D130/(D131-D130))*(1-EXP(-D129*(D132+D133)))))</f>
        <v>#DIV/0!</v>
      </c>
      <c r="E136" s="145" t="e">
        <f t="shared" si="15"/>
        <v>#VALUE!</v>
      </c>
      <c r="F136" s="145" t="e">
        <f t="shared" si="15"/>
        <v>#VALUE!</v>
      </c>
      <c r="G136" s="145" t="e">
        <f t="shared" si="15"/>
        <v>#VALUE!</v>
      </c>
      <c r="H136" s="145" t="e">
        <f t="shared" si="15"/>
        <v>#VALUE!</v>
      </c>
      <c r="I136" s="145" t="e">
        <f t="shared" si="15"/>
        <v>#VALUE!</v>
      </c>
      <c r="J136" s="95" t="s">
        <v>78</v>
      </c>
      <c r="K136" s="95"/>
      <c r="L136" s="8"/>
      <c r="M136" s="8"/>
      <c r="N136" s="8"/>
      <c r="O136" s="94"/>
    </row>
    <row r="137" spans="2:15" ht="41" hidden="1" x14ac:dyDescent="0.3">
      <c r="B137" s="92"/>
      <c r="C137" s="143" t="s">
        <v>108</v>
      </c>
      <c r="D137" s="145" t="e">
        <f t="shared" ref="D137:I137" si="16">D135*EXP(-D129*D134)</f>
        <v>#DIV/0!</v>
      </c>
      <c r="E137" s="145" t="e">
        <f t="shared" si="16"/>
        <v>#VALUE!</v>
      </c>
      <c r="F137" s="145" t="e">
        <f t="shared" si="16"/>
        <v>#VALUE!</v>
      </c>
      <c r="G137" s="145" t="e">
        <f t="shared" si="16"/>
        <v>#VALUE!</v>
      </c>
      <c r="H137" s="145" t="e">
        <f t="shared" si="16"/>
        <v>#VALUE!</v>
      </c>
      <c r="I137" s="145" t="e">
        <f t="shared" si="16"/>
        <v>#VALUE!</v>
      </c>
      <c r="J137" s="95" t="s">
        <v>78</v>
      </c>
      <c r="K137" s="95"/>
      <c r="L137" s="8"/>
      <c r="M137" s="8"/>
      <c r="N137" s="8"/>
      <c r="O137" s="94"/>
    </row>
    <row r="138" spans="2:15" hidden="1" x14ac:dyDescent="0.25">
      <c r="B138" s="92"/>
      <c r="C138" s="8" t="s">
        <v>110</v>
      </c>
      <c r="D138" s="8"/>
      <c r="E138" s="8"/>
      <c r="F138" s="8"/>
      <c r="G138" s="8"/>
      <c r="H138" s="8"/>
      <c r="I138" s="8"/>
      <c r="J138" s="8"/>
      <c r="K138" s="8"/>
      <c r="L138" s="8"/>
      <c r="M138" s="8"/>
      <c r="N138" s="8"/>
      <c r="O138" s="94"/>
    </row>
    <row r="139" spans="2:15" hidden="1" x14ac:dyDescent="0.25">
      <c r="B139" s="92"/>
      <c r="C139" s="424" t="s">
        <v>228</v>
      </c>
      <c r="D139" s="422"/>
      <c r="E139" s="422"/>
      <c r="F139" s="422"/>
      <c r="G139" s="422"/>
      <c r="H139" s="422"/>
      <c r="I139" s="422"/>
      <c r="J139" s="8"/>
      <c r="K139" s="8"/>
      <c r="L139" s="8"/>
      <c r="M139" s="8"/>
      <c r="N139" s="8"/>
      <c r="O139" s="94"/>
    </row>
    <row r="140" spans="2:15" hidden="1" x14ac:dyDescent="0.25">
      <c r="B140" s="92"/>
      <c r="C140" s="424" t="s">
        <v>229</v>
      </c>
      <c r="D140" s="422"/>
      <c r="E140" s="422"/>
      <c r="F140" s="422"/>
      <c r="G140" s="422"/>
      <c r="H140" s="422"/>
      <c r="I140" s="422"/>
      <c r="J140" s="8"/>
      <c r="K140" s="8"/>
      <c r="L140" s="8"/>
      <c r="M140" s="8"/>
      <c r="N140" s="8"/>
      <c r="O140" s="94"/>
    </row>
    <row r="141" spans="2:15" hidden="1" x14ac:dyDescent="0.25">
      <c r="B141" s="92"/>
      <c r="C141" s="424" t="s">
        <v>230</v>
      </c>
      <c r="D141" s="422"/>
      <c r="E141" s="422"/>
      <c r="F141" s="422"/>
      <c r="G141" s="422"/>
      <c r="H141" s="422"/>
      <c r="I141" s="422"/>
      <c r="J141" s="8"/>
      <c r="K141" s="8"/>
      <c r="L141" s="8"/>
      <c r="M141" s="8"/>
      <c r="N141" s="8"/>
      <c r="O141" s="94"/>
    </row>
    <row r="142" spans="2:15" hidden="1" x14ac:dyDescent="0.25">
      <c r="B142" s="92"/>
      <c r="C142" s="422" t="s">
        <v>231</v>
      </c>
      <c r="D142" s="422"/>
      <c r="E142" s="422"/>
      <c r="F142" s="422"/>
      <c r="G142" s="422"/>
      <c r="H142" s="422"/>
      <c r="I142" s="422"/>
      <c r="J142" s="8"/>
      <c r="K142" s="8"/>
      <c r="L142" s="8"/>
      <c r="M142" s="8"/>
      <c r="N142" s="8"/>
      <c r="O142" s="94"/>
    </row>
    <row r="143" spans="2:15" ht="26.25" hidden="1" customHeight="1" thickBot="1" x14ac:dyDescent="0.3">
      <c r="B143" s="101"/>
      <c r="C143" s="423"/>
      <c r="D143" s="423"/>
      <c r="E143" s="423"/>
      <c r="F143" s="423"/>
      <c r="G143" s="423"/>
      <c r="H143" s="423"/>
      <c r="I143" s="423"/>
      <c r="J143" s="102"/>
      <c r="K143" s="102"/>
      <c r="L143" s="102"/>
      <c r="M143" s="102"/>
      <c r="N143" s="102"/>
      <c r="O143" s="103"/>
    </row>
  </sheetData>
  <mergeCells count="4">
    <mergeCell ref="E11:F12"/>
    <mergeCell ref="H74:I74"/>
    <mergeCell ref="I77:L80"/>
    <mergeCell ref="D80:F83"/>
  </mergeCells>
  <conditionalFormatting sqref="D114:I114">
    <cfRule type="cellIs" dxfId="55" priority="7" stopIfTrue="1" operator="greaterThanOrEqual">
      <formula>1</formula>
    </cfRule>
    <cfRule type="cellIs" dxfId="54" priority="8" stopIfTrue="1" operator="lessThan">
      <formula>1</formula>
    </cfRule>
  </conditionalFormatting>
  <conditionalFormatting sqref="D115:I115">
    <cfRule type="cellIs" dxfId="53" priority="5" stopIfTrue="1" operator="greaterThan">
      <formula>5</formula>
    </cfRule>
    <cfRule type="cellIs" dxfId="52" priority="6" stopIfTrue="1" operator="lessThanOrEqual">
      <formula>5</formula>
    </cfRule>
  </conditionalFormatting>
  <conditionalFormatting sqref="E79">
    <cfRule type="cellIs" dxfId="51" priority="3" stopIfTrue="1" operator="lessThanOrEqual">
      <formula>5</formula>
    </cfRule>
    <cfRule type="cellIs" dxfId="50" priority="4" stopIfTrue="1" operator="greaterThan">
      <formula>5</formula>
    </cfRule>
  </conditionalFormatting>
  <conditionalFormatting sqref="J75">
    <cfRule type="cellIs" dxfId="49" priority="1" stopIfTrue="1" operator="greaterThanOrEqual">
      <formula>1</formula>
    </cfRule>
    <cfRule type="cellIs" dxfId="48" priority="2" stopIfTrue="1" operator="lessThan">
      <formula>1</formula>
    </cfRule>
  </conditionalFormatting>
  <pageMargins left="0.75" right="0.75" top="1" bottom="1" header="0.5" footer="0.5"/>
  <pageSetup scale="63" fitToHeight="4" orientation="landscape" r:id="rId1"/>
  <headerFooter alignWithMargins="0"/>
  <rowBreaks count="2" manualBreakCount="2">
    <brk id="48" max="16383" man="1"/>
    <brk id="84"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8AEC3-B684-4853-B50F-7CE5B30E8F4B}">
  <dimension ref="A1:T143"/>
  <sheetViews>
    <sheetView showGridLines="0" topLeftCell="A46" zoomScale="80" zoomScaleNormal="80" workbookViewId="0">
      <selection activeCell="I77" sqref="I77:L80"/>
    </sheetView>
  </sheetViews>
  <sheetFormatPr defaultColWidth="9.1796875" defaultRowHeight="12.5" x14ac:dyDescent="0.25"/>
  <cols>
    <col min="1" max="2" width="1.54296875" style="1" customWidth="1"/>
    <col min="3" max="3" width="26" style="1" customWidth="1"/>
    <col min="4" max="4" width="17.81640625" style="1" customWidth="1"/>
    <col min="5" max="6" width="20.81640625" style="1" customWidth="1"/>
    <col min="7" max="7" width="17.81640625" style="1" customWidth="1"/>
    <col min="8" max="9" width="23.81640625" style="1" customWidth="1"/>
    <col min="10" max="10" width="16.453125" style="1" customWidth="1"/>
    <col min="11" max="11" width="12.81640625" style="1" customWidth="1"/>
    <col min="12" max="12" width="16.1796875" style="1" customWidth="1"/>
    <col min="13" max="13" width="9.1796875" style="1"/>
    <col min="14" max="14" width="9.81640625" style="1" customWidth="1"/>
    <col min="15" max="17" width="9.1796875" style="1"/>
    <col min="18" max="18" width="9.1796875" style="485" customWidth="1"/>
    <col min="19" max="16384" width="9.1796875" style="1"/>
  </cols>
  <sheetData>
    <row r="1" spans="2:20" ht="13" thickBot="1" x14ac:dyDescent="0.3"/>
    <row r="2" spans="2:20" ht="20.25" customHeight="1" thickBot="1" x14ac:dyDescent="0.3">
      <c r="B2" s="425" t="s">
        <v>296</v>
      </c>
      <c r="C2" s="426"/>
      <c r="D2" s="426"/>
      <c r="E2" s="426"/>
      <c r="F2" s="426"/>
      <c r="G2" s="426"/>
      <c r="H2" s="426"/>
      <c r="I2" s="426"/>
      <c r="J2" s="426"/>
      <c r="K2" s="426"/>
      <c r="L2" s="426"/>
      <c r="M2" s="426"/>
      <c r="N2" s="426"/>
      <c r="O2" s="427"/>
    </row>
    <row r="3" spans="2:20" ht="18.5" thickBot="1" x14ac:dyDescent="0.45">
      <c r="B3" s="116" t="s">
        <v>187</v>
      </c>
      <c r="C3" s="117"/>
      <c r="D3" s="118"/>
      <c r="E3" s="117"/>
      <c r="F3" s="118"/>
      <c r="G3" s="118"/>
      <c r="H3" s="118"/>
      <c r="I3" s="118"/>
      <c r="J3" s="118"/>
      <c r="K3" s="118"/>
      <c r="L3" s="118"/>
      <c r="M3" s="118"/>
      <c r="N3" s="118"/>
      <c r="O3" s="119"/>
    </row>
    <row r="4" spans="2:20" ht="16" customHeight="1" x14ac:dyDescent="0.3">
      <c r="B4" s="149"/>
      <c r="C4" s="329"/>
      <c r="D4" s="90"/>
      <c r="E4" s="90"/>
      <c r="F4" s="90"/>
      <c r="G4" s="90"/>
      <c r="H4" s="90"/>
      <c r="I4" s="90"/>
      <c r="J4" s="90"/>
      <c r="K4" s="90"/>
      <c r="L4" s="90"/>
      <c r="M4" s="90"/>
      <c r="N4" s="90"/>
      <c r="O4" s="91"/>
    </row>
    <row r="5" spans="2:20" ht="16" customHeight="1" x14ac:dyDescent="0.3">
      <c r="B5" s="92"/>
      <c r="C5" s="152" t="s">
        <v>7</v>
      </c>
      <c r="D5" s="153">
        <f>'Tank Summary'!O12</f>
        <v>0</v>
      </c>
      <c r="E5" s="93"/>
      <c r="F5" s="93"/>
      <c r="G5" s="8"/>
      <c r="H5" s="8"/>
      <c r="I5" s="8"/>
      <c r="J5" s="8"/>
      <c r="K5" s="8"/>
      <c r="L5" s="8"/>
      <c r="M5" s="8"/>
      <c r="N5" s="8"/>
      <c r="O5" s="94"/>
    </row>
    <row r="6" spans="2:20" ht="16" customHeight="1" x14ac:dyDescent="0.3">
      <c r="B6" s="92"/>
      <c r="C6" s="147" t="s">
        <v>96</v>
      </c>
      <c r="D6" s="154">
        <f>'Tank Summary'!O13</f>
        <v>0</v>
      </c>
      <c r="E6" s="93"/>
      <c r="F6" s="93"/>
      <c r="G6" s="8"/>
      <c r="H6" s="8"/>
      <c r="I6" s="8"/>
      <c r="J6" s="8"/>
      <c r="K6" s="8"/>
      <c r="L6" s="8"/>
      <c r="M6" s="8"/>
      <c r="N6" s="8"/>
      <c r="O6" s="94"/>
    </row>
    <row r="7" spans="2:20" ht="40.5" customHeight="1" x14ac:dyDescent="0.3">
      <c r="B7" s="92"/>
      <c r="C7" s="155" t="s">
        <v>64</v>
      </c>
      <c r="D7" s="88">
        <f>'Tank Summary'!O14</f>
        <v>0</v>
      </c>
      <c r="E7" s="150"/>
      <c r="F7" s="93"/>
      <c r="G7" s="151"/>
      <c r="H7" s="8"/>
      <c r="I7" s="8"/>
      <c r="J7" s="8"/>
      <c r="K7" s="8"/>
      <c r="L7" s="8"/>
      <c r="M7" s="8"/>
      <c r="N7" s="8"/>
      <c r="O7" s="94"/>
    </row>
    <row r="8" spans="2:20" ht="39.75" customHeight="1" x14ac:dyDescent="0.3">
      <c r="B8" s="92"/>
      <c r="C8" s="155" t="s">
        <v>66</v>
      </c>
      <c r="D8" s="156">
        <f>'Tank Summary'!O15</f>
        <v>0</v>
      </c>
      <c r="E8" s="150"/>
      <c r="F8" s="93"/>
      <c r="G8" s="151"/>
      <c r="H8" s="8"/>
      <c r="I8" s="8"/>
      <c r="J8" s="8"/>
      <c r="K8" s="8"/>
      <c r="L8" s="8"/>
      <c r="M8" s="8"/>
      <c r="N8" s="8"/>
      <c r="O8" s="94"/>
    </row>
    <row r="9" spans="2:20" ht="18" customHeight="1" x14ac:dyDescent="0.3">
      <c r="B9" s="92"/>
      <c r="C9" s="147" t="s">
        <v>304</v>
      </c>
      <c r="D9" s="157">
        <f>'Tank Summary'!O20</f>
        <v>0</v>
      </c>
      <c r="E9" s="93" t="str">
        <f>IF(OR(D7="c", D7="r",D7="h"),"ft","")</f>
        <v/>
      </c>
      <c r="F9" s="96"/>
      <c r="G9" s="8"/>
      <c r="H9" s="8"/>
      <c r="I9" s="8"/>
      <c r="J9" s="8"/>
      <c r="K9" s="8"/>
      <c r="L9" s="8"/>
      <c r="M9" s="8"/>
      <c r="N9" s="8"/>
      <c r="O9" s="94"/>
    </row>
    <row r="10" spans="2:20" ht="18" customHeight="1" x14ac:dyDescent="0.3">
      <c r="B10" s="92"/>
      <c r="C10" s="158" t="str">
        <f>IF(OR(D7="c", D7="h"), "Tank diameter, D:", IF(D7="r","Longest Sidewall Length, D:","Maximum diameter, D:"))</f>
        <v>Maximum diameter, D:</v>
      </c>
      <c r="D10" s="157">
        <f>'Tank Summary'!O17</f>
        <v>0</v>
      </c>
      <c r="E10" s="93" t="str">
        <f>IF(OR(D7="c", D7="r",D7="h"),"ft","")</f>
        <v/>
      </c>
      <c r="F10" s="93"/>
      <c r="G10" s="151"/>
      <c r="H10" s="8"/>
      <c r="I10" s="8"/>
      <c r="J10" s="8"/>
      <c r="K10" s="8"/>
      <c r="L10" s="8"/>
      <c r="M10" s="8"/>
      <c r="N10" s="8"/>
      <c r="O10" s="94"/>
    </row>
    <row r="11" spans="2:20" ht="18" customHeight="1" x14ac:dyDescent="0.3">
      <c r="B11" s="92"/>
      <c r="C11" s="158" t="str">
        <f>IF(OR(D7="c", D7="h"),"",IF(D7="r","Shortest Sidewall Length, L:",""))</f>
        <v/>
      </c>
      <c r="D11" s="157">
        <f>'Tank Summary'!O18</f>
        <v>0</v>
      </c>
      <c r="E11" s="501" t="str">
        <f>IF(OR(D7="c", D7="h"),"",IF(D7="r","ft",IF(D8="y","","Spreadsheet is not set up for shapes other than cylindrical, hydropillar, &amp; rectangular unless SCADA reports tank volume!")))</f>
        <v>Spreadsheet is not set up for shapes other than cylindrical, hydropillar, &amp; rectangular unless SCADA reports tank volume!</v>
      </c>
      <c r="F11" s="502"/>
      <c r="G11" s="151"/>
      <c r="H11" s="8"/>
      <c r="I11" s="8"/>
      <c r="J11" s="8"/>
      <c r="K11" s="8"/>
      <c r="L11" s="8"/>
      <c r="M11" s="8"/>
      <c r="N11" s="8"/>
      <c r="O11" s="94"/>
    </row>
    <row r="12" spans="2:20" ht="18" customHeight="1" x14ac:dyDescent="0.3">
      <c r="B12" s="92"/>
      <c r="C12" s="152" t="str">
        <f>IF(D8="y", "Volume Cutoff Ratio:", "H/D Ratio:")</f>
        <v>H/D Ratio:</v>
      </c>
      <c r="D12" s="88" t="e">
        <f>IF(D8="y", (PI()/4)*D10^3, 'Tank Summary'!O22)</f>
        <v>#DIV/0!</v>
      </c>
      <c r="E12" s="501"/>
      <c r="F12" s="502"/>
      <c r="G12" s="151"/>
      <c r="H12" s="8"/>
      <c r="I12" s="8"/>
      <c r="J12" s="8"/>
      <c r="K12" s="8"/>
      <c r="L12" s="8"/>
      <c r="M12" s="8"/>
      <c r="N12" s="8"/>
      <c r="O12" s="94"/>
    </row>
    <row r="13" spans="2:20" ht="18" customHeight="1" x14ac:dyDescent="0.3">
      <c r="B13" s="92"/>
      <c r="C13" s="152" t="s">
        <v>10</v>
      </c>
      <c r="D13" s="88">
        <f>'Tank Summary'!O19</f>
        <v>0</v>
      </c>
      <c r="E13" s="93" t="s">
        <v>1</v>
      </c>
      <c r="F13" s="93"/>
      <c r="G13" s="8"/>
      <c r="H13" s="8"/>
      <c r="I13" s="8"/>
      <c r="J13" s="8"/>
      <c r="K13" s="8"/>
      <c r="L13" s="8"/>
      <c r="M13" s="8"/>
      <c r="N13" s="8"/>
      <c r="O13" s="94"/>
    </row>
    <row r="14" spans="2:20" ht="16" customHeight="1" x14ac:dyDescent="0.25">
      <c r="B14" s="92"/>
      <c r="C14" s="29"/>
      <c r="D14" s="29"/>
      <c r="E14" s="29"/>
      <c r="F14" s="29"/>
      <c r="G14" s="29"/>
      <c r="H14" s="29"/>
      <c r="I14" s="29"/>
      <c r="J14" s="8"/>
      <c r="K14" s="8"/>
      <c r="L14" s="8"/>
      <c r="M14" s="8"/>
      <c r="N14" s="8"/>
      <c r="O14" s="94"/>
      <c r="Q14" s="481"/>
      <c r="R14" s="481"/>
      <c r="S14" s="481"/>
      <c r="T14" s="481"/>
    </row>
    <row r="15" spans="2:20" ht="16" customHeight="1" x14ac:dyDescent="0.3">
      <c r="B15" s="92"/>
      <c r="C15" s="95" t="s">
        <v>206</v>
      </c>
      <c r="D15" s="53"/>
      <c r="E15" s="53"/>
      <c r="F15" s="53"/>
      <c r="G15" s="96"/>
      <c r="H15" s="338"/>
      <c r="I15" s="53"/>
      <c r="J15" s="8"/>
      <c r="K15" s="8"/>
      <c r="L15" s="97"/>
      <c r="M15" s="8"/>
      <c r="N15" s="8"/>
      <c r="O15" s="94"/>
      <c r="Q15" s="481"/>
      <c r="R15" s="481"/>
      <c r="S15" s="481"/>
      <c r="T15" s="481"/>
    </row>
    <row r="16" spans="2:20" ht="13" x14ac:dyDescent="0.3">
      <c r="B16" s="92"/>
      <c r="C16" s="13" t="s">
        <v>19</v>
      </c>
      <c r="D16" s="13" t="s">
        <v>20</v>
      </c>
      <c r="E16" s="13" t="str">
        <f>IF(D8="y","Vol at Start of Fill","Min Level")</f>
        <v>Min Level</v>
      </c>
      <c r="F16" s="13" t="str">
        <f>IF(D8="y","Vol at End of Fill","Max Level")</f>
        <v>Max Level</v>
      </c>
      <c r="G16" s="13" t="s">
        <v>21</v>
      </c>
      <c r="H16" s="13" t="s">
        <v>22</v>
      </c>
      <c r="I16" s="8"/>
      <c r="K16" s="8"/>
      <c r="L16" s="8"/>
      <c r="M16" s="8"/>
      <c r="N16" s="8"/>
      <c r="O16" s="94"/>
      <c r="Q16" s="481"/>
      <c r="R16" s="482" t="s">
        <v>285</v>
      </c>
      <c r="S16" s="481"/>
      <c r="T16" s="481"/>
    </row>
    <row r="17" spans="2:20" ht="13" x14ac:dyDescent="0.3">
      <c r="B17" s="92"/>
      <c r="C17" s="14"/>
      <c r="D17" s="14"/>
      <c r="E17" s="14" t="str">
        <f>IF(D8="y","Gal","Ft")</f>
        <v>Ft</v>
      </c>
      <c r="F17" s="14" t="str">
        <f>IF(D8="y","Gal","Ft")</f>
        <v>Ft</v>
      </c>
      <c r="G17" s="14"/>
      <c r="H17" s="14" t="s">
        <v>23</v>
      </c>
      <c r="I17" s="8"/>
      <c r="K17" s="8"/>
      <c r="L17" s="8"/>
      <c r="M17" s="8"/>
      <c r="N17" s="8"/>
      <c r="O17" s="94"/>
      <c r="Q17" s="481"/>
      <c r="R17" s="482" t="str">
        <f>IF(D8="y","Gal","Ft")</f>
        <v>Ft</v>
      </c>
      <c r="S17" s="481"/>
      <c r="T17" s="481"/>
    </row>
    <row r="18" spans="2:20" ht="13" x14ac:dyDescent="0.3">
      <c r="B18" s="92"/>
      <c r="C18" s="339"/>
      <c r="D18" s="340"/>
      <c r="E18" s="341"/>
      <c r="F18" s="341"/>
      <c r="G18" s="89">
        <f t="shared" ref="G18:G47" si="0">C18+D18</f>
        <v>0</v>
      </c>
      <c r="H18" s="12">
        <v>0</v>
      </c>
      <c r="I18" s="8">
        <v>1</v>
      </c>
      <c r="K18" s="8"/>
      <c r="L18" s="8"/>
      <c r="M18" s="8"/>
      <c r="N18" s="8"/>
      <c r="O18" s="94"/>
      <c r="Q18" s="481"/>
      <c r="R18" s="483" t="str">
        <f t="shared" ref="R18:R47" si="1">IF(G18,E18+F18,"")</f>
        <v/>
      </c>
      <c r="S18" s="481"/>
      <c r="T18" s="481"/>
    </row>
    <row r="19" spans="2:20" ht="13" x14ac:dyDescent="0.3">
      <c r="B19" s="92"/>
      <c r="C19" s="339"/>
      <c r="D19" s="340"/>
      <c r="E19" s="341"/>
      <c r="F19" s="341"/>
      <c r="G19" s="89">
        <f t="shared" si="0"/>
        <v>0</v>
      </c>
      <c r="H19" s="12" t="str">
        <f t="shared" ref="H19:H47" si="2">IF(G19,G19-$G$18,"")</f>
        <v/>
      </c>
      <c r="I19" s="8"/>
      <c r="K19" s="8"/>
      <c r="L19" s="8"/>
      <c r="M19" s="8"/>
      <c r="N19" s="8"/>
      <c r="O19" s="94"/>
      <c r="Q19" s="481"/>
      <c r="R19" s="483" t="str">
        <f t="shared" si="1"/>
        <v/>
      </c>
      <c r="S19" s="481"/>
      <c r="T19" s="481"/>
    </row>
    <row r="20" spans="2:20" ht="13" x14ac:dyDescent="0.3">
      <c r="B20" s="92"/>
      <c r="C20" s="347"/>
      <c r="D20" s="348"/>
      <c r="E20" s="349"/>
      <c r="F20" s="349"/>
      <c r="G20" s="350">
        <f t="shared" si="0"/>
        <v>0</v>
      </c>
      <c r="H20" s="351" t="str">
        <f t="shared" si="2"/>
        <v/>
      </c>
      <c r="I20" s="8">
        <v>2</v>
      </c>
      <c r="K20" s="8"/>
      <c r="L20" s="8"/>
      <c r="M20" s="8"/>
      <c r="N20" s="8"/>
      <c r="O20" s="94"/>
      <c r="Q20" s="481"/>
      <c r="R20" s="483" t="str">
        <f t="shared" si="1"/>
        <v/>
      </c>
      <c r="S20" s="481"/>
      <c r="T20" s="481"/>
    </row>
    <row r="21" spans="2:20" ht="13" x14ac:dyDescent="0.3">
      <c r="B21" s="92"/>
      <c r="C21" s="347"/>
      <c r="D21" s="348"/>
      <c r="E21" s="349"/>
      <c r="F21" s="349"/>
      <c r="G21" s="350">
        <f t="shared" si="0"/>
        <v>0</v>
      </c>
      <c r="H21" s="351" t="str">
        <f t="shared" si="2"/>
        <v/>
      </c>
      <c r="I21" s="8"/>
      <c r="K21" s="8"/>
      <c r="L21" s="8"/>
      <c r="M21" s="8"/>
      <c r="N21" s="8"/>
      <c r="O21" s="94"/>
      <c r="Q21" s="481"/>
      <c r="R21" s="483" t="str">
        <f t="shared" si="1"/>
        <v/>
      </c>
      <c r="S21" s="481"/>
      <c r="T21" s="481"/>
    </row>
    <row r="22" spans="2:20" ht="13" x14ac:dyDescent="0.3">
      <c r="B22" s="92"/>
      <c r="C22" s="339"/>
      <c r="D22" s="340"/>
      <c r="E22" s="341"/>
      <c r="F22" s="341"/>
      <c r="G22" s="89">
        <f t="shared" si="0"/>
        <v>0</v>
      </c>
      <c r="H22" s="12" t="str">
        <f t="shared" si="2"/>
        <v/>
      </c>
      <c r="I22" s="8">
        <v>3</v>
      </c>
      <c r="K22" s="8"/>
      <c r="L22" s="8"/>
      <c r="M22" s="8"/>
      <c r="N22" s="8"/>
      <c r="O22" s="94"/>
      <c r="Q22" s="481"/>
      <c r="R22" s="483" t="str">
        <f t="shared" si="1"/>
        <v/>
      </c>
      <c r="S22" s="481"/>
      <c r="T22" s="481"/>
    </row>
    <row r="23" spans="2:20" ht="13" x14ac:dyDescent="0.3">
      <c r="B23" s="92"/>
      <c r="C23" s="339"/>
      <c r="D23" s="340"/>
      <c r="E23" s="341"/>
      <c r="F23" s="341"/>
      <c r="G23" s="89">
        <f t="shared" si="0"/>
        <v>0</v>
      </c>
      <c r="H23" s="12" t="str">
        <f t="shared" si="2"/>
        <v/>
      </c>
      <c r="I23" s="8"/>
      <c r="K23" s="8"/>
      <c r="L23" s="8"/>
      <c r="M23" s="8"/>
      <c r="N23" s="8"/>
      <c r="O23" s="94"/>
      <c r="Q23" s="481"/>
      <c r="R23" s="483" t="str">
        <f t="shared" si="1"/>
        <v/>
      </c>
      <c r="S23" s="481"/>
      <c r="T23" s="481"/>
    </row>
    <row r="24" spans="2:20" ht="13" x14ac:dyDescent="0.3">
      <c r="B24" s="92"/>
      <c r="C24" s="347"/>
      <c r="D24" s="348"/>
      <c r="E24" s="349"/>
      <c r="F24" s="349"/>
      <c r="G24" s="350">
        <f t="shared" si="0"/>
        <v>0</v>
      </c>
      <c r="H24" s="351" t="str">
        <f t="shared" si="2"/>
        <v/>
      </c>
      <c r="I24" s="8">
        <v>4</v>
      </c>
      <c r="K24" s="8"/>
      <c r="L24" s="8"/>
      <c r="M24" s="8"/>
      <c r="N24" s="8"/>
      <c r="O24" s="94"/>
      <c r="Q24" s="481"/>
      <c r="R24" s="483" t="str">
        <f t="shared" si="1"/>
        <v/>
      </c>
      <c r="S24" s="481"/>
      <c r="T24" s="481"/>
    </row>
    <row r="25" spans="2:20" ht="13" x14ac:dyDescent="0.3">
      <c r="B25" s="92"/>
      <c r="C25" s="347"/>
      <c r="D25" s="348"/>
      <c r="E25" s="349"/>
      <c r="F25" s="349"/>
      <c r="G25" s="350">
        <f t="shared" si="0"/>
        <v>0</v>
      </c>
      <c r="H25" s="351" t="str">
        <f t="shared" si="2"/>
        <v/>
      </c>
      <c r="I25" s="8"/>
      <c r="K25" s="8"/>
      <c r="L25" s="8"/>
      <c r="M25" s="8"/>
      <c r="N25" s="8"/>
      <c r="O25" s="94"/>
      <c r="Q25" s="481"/>
      <c r="R25" s="483" t="str">
        <f t="shared" si="1"/>
        <v/>
      </c>
      <c r="S25" s="481"/>
      <c r="T25" s="481"/>
    </row>
    <row r="26" spans="2:20" ht="13" x14ac:dyDescent="0.3">
      <c r="B26" s="92"/>
      <c r="C26" s="342"/>
      <c r="D26" s="340"/>
      <c r="E26" s="341"/>
      <c r="F26" s="341"/>
      <c r="G26" s="89">
        <f t="shared" si="0"/>
        <v>0</v>
      </c>
      <c r="H26" s="12" t="str">
        <f t="shared" si="2"/>
        <v/>
      </c>
      <c r="I26" s="8">
        <v>5</v>
      </c>
      <c r="K26" s="8"/>
      <c r="L26" s="8"/>
      <c r="M26" s="8"/>
      <c r="N26" s="8"/>
      <c r="O26" s="94"/>
      <c r="Q26" s="481"/>
      <c r="R26" s="483" t="str">
        <f t="shared" si="1"/>
        <v/>
      </c>
      <c r="S26" s="481"/>
      <c r="T26" s="481"/>
    </row>
    <row r="27" spans="2:20" ht="13" x14ac:dyDescent="0.3">
      <c r="B27" s="92"/>
      <c r="C27" s="342"/>
      <c r="D27" s="340"/>
      <c r="E27" s="341"/>
      <c r="F27" s="341"/>
      <c r="G27" s="89">
        <f t="shared" si="0"/>
        <v>0</v>
      </c>
      <c r="H27" s="12" t="str">
        <f t="shared" si="2"/>
        <v/>
      </c>
      <c r="I27" s="8"/>
      <c r="K27" s="8"/>
      <c r="L27" s="8"/>
      <c r="M27" s="8"/>
      <c r="N27" s="8"/>
      <c r="O27" s="94"/>
      <c r="Q27" s="481"/>
      <c r="R27" s="483" t="str">
        <f t="shared" si="1"/>
        <v/>
      </c>
      <c r="S27" s="481"/>
      <c r="T27" s="481"/>
    </row>
    <row r="28" spans="2:20" ht="13" x14ac:dyDescent="0.3">
      <c r="B28" s="92"/>
      <c r="C28" s="347"/>
      <c r="D28" s="348"/>
      <c r="E28" s="349"/>
      <c r="F28" s="349"/>
      <c r="G28" s="350">
        <f t="shared" si="0"/>
        <v>0</v>
      </c>
      <c r="H28" s="351" t="str">
        <f t="shared" si="2"/>
        <v/>
      </c>
      <c r="I28" s="8">
        <v>6</v>
      </c>
      <c r="K28" s="8"/>
      <c r="L28" s="8"/>
      <c r="M28" s="8"/>
      <c r="N28" s="8"/>
      <c r="O28" s="94"/>
      <c r="Q28" s="481"/>
      <c r="R28" s="483" t="str">
        <f t="shared" si="1"/>
        <v/>
      </c>
      <c r="S28" s="481"/>
      <c r="T28" s="481"/>
    </row>
    <row r="29" spans="2:20" ht="13" x14ac:dyDescent="0.3">
      <c r="B29" s="92"/>
      <c r="C29" s="347"/>
      <c r="D29" s="348"/>
      <c r="E29" s="349"/>
      <c r="F29" s="349"/>
      <c r="G29" s="350">
        <f t="shared" si="0"/>
        <v>0</v>
      </c>
      <c r="H29" s="351" t="str">
        <f t="shared" si="2"/>
        <v/>
      </c>
      <c r="I29" s="8"/>
      <c r="K29" s="8"/>
      <c r="L29" s="8"/>
      <c r="M29" s="8"/>
      <c r="N29" s="8"/>
      <c r="O29" s="94"/>
      <c r="Q29" s="481"/>
      <c r="R29" s="483" t="str">
        <f t="shared" si="1"/>
        <v/>
      </c>
      <c r="S29" s="481"/>
      <c r="T29" s="481"/>
    </row>
    <row r="30" spans="2:20" ht="13" x14ac:dyDescent="0.3">
      <c r="B30" s="92"/>
      <c r="C30" s="342"/>
      <c r="D30" s="340"/>
      <c r="E30" s="341"/>
      <c r="F30" s="343"/>
      <c r="G30" s="89">
        <f t="shared" si="0"/>
        <v>0</v>
      </c>
      <c r="H30" s="12" t="str">
        <f t="shared" si="2"/>
        <v/>
      </c>
      <c r="I30" s="8">
        <v>7</v>
      </c>
      <c r="K30" s="8"/>
      <c r="L30" s="8"/>
      <c r="M30" s="8"/>
      <c r="N30" s="8"/>
      <c r="O30" s="94"/>
      <c r="Q30" s="481"/>
      <c r="R30" s="483" t="str">
        <f t="shared" si="1"/>
        <v/>
      </c>
      <c r="S30" s="481"/>
      <c r="T30" s="481"/>
    </row>
    <row r="31" spans="2:20" ht="13" x14ac:dyDescent="0.3">
      <c r="B31" s="92"/>
      <c r="C31" s="342"/>
      <c r="D31" s="340"/>
      <c r="E31" s="341"/>
      <c r="F31" s="341"/>
      <c r="G31" s="89">
        <f t="shared" si="0"/>
        <v>0</v>
      </c>
      <c r="H31" s="12" t="str">
        <f t="shared" si="2"/>
        <v/>
      </c>
      <c r="I31" s="8"/>
      <c r="K31" s="8"/>
      <c r="L31" s="8"/>
      <c r="M31" s="8"/>
      <c r="N31" s="8"/>
      <c r="O31" s="94"/>
      <c r="Q31" s="481"/>
      <c r="R31" s="483" t="str">
        <f t="shared" si="1"/>
        <v/>
      </c>
      <c r="S31" s="481"/>
      <c r="T31" s="481"/>
    </row>
    <row r="32" spans="2:20" ht="13" x14ac:dyDescent="0.3">
      <c r="B32" s="92"/>
      <c r="C32" s="347"/>
      <c r="D32" s="348"/>
      <c r="E32" s="349"/>
      <c r="F32" s="349"/>
      <c r="G32" s="350">
        <f t="shared" si="0"/>
        <v>0</v>
      </c>
      <c r="H32" s="351" t="str">
        <f t="shared" si="2"/>
        <v/>
      </c>
      <c r="I32" s="8">
        <v>8</v>
      </c>
      <c r="K32" s="8"/>
      <c r="L32" s="8"/>
      <c r="M32" s="8"/>
      <c r="N32" s="8"/>
      <c r="O32" s="94"/>
      <c r="Q32" s="481"/>
      <c r="R32" s="483" t="str">
        <f t="shared" si="1"/>
        <v/>
      </c>
      <c r="S32" s="481"/>
      <c r="T32" s="481"/>
    </row>
    <row r="33" spans="2:20" ht="13" x14ac:dyDescent="0.3">
      <c r="B33" s="92"/>
      <c r="C33" s="347"/>
      <c r="D33" s="348"/>
      <c r="E33" s="349"/>
      <c r="F33" s="349"/>
      <c r="G33" s="350">
        <f t="shared" si="0"/>
        <v>0</v>
      </c>
      <c r="H33" s="351" t="str">
        <f t="shared" si="2"/>
        <v/>
      </c>
      <c r="I33" s="8"/>
      <c r="K33" s="8"/>
      <c r="L33" s="8"/>
      <c r="M33" s="8"/>
      <c r="N33" s="8"/>
      <c r="O33" s="94"/>
      <c r="Q33" s="481"/>
      <c r="R33" s="483" t="str">
        <f t="shared" si="1"/>
        <v/>
      </c>
      <c r="S33" s="481"/>
      <c r="T33" s="481"/>
    </row>
    <row r="34" spans="2:20" ht="13" x14ac:dyDescent="0.3">
      <c r="B34" s="92"/>
      <c r="C34" s="342"/>
      <c r="D34" s="340"/>
      <c r="E34" s="341"/>
      <c r="F34" s="341"/>
      <c r="G34" s="89">
        <f t="shared" si="0"/>
        <v>0</v>
      </c>
      <c r="H34" s="12" t="str">
        <f t="shared" si="2"/>
        <v/>
      </c>
      <c r="I34" s="8">
        <v>9</v>
      </c>
      <c r="K34" s="8"/>
      <c r="L34" s="8"/>
      <c r="M34" s="8"/>
      <c r="N34" s="8"/>
      <c r="O34" s="94"/>
      <c r="Q34" s="481"/>
      <c r="R34" s="483" t="str">
        <f t="shared" si="1"/>
        <v/>
      </c>
      <c r="S34" s="481"/>
      <c r="T34" s="481"/>
    </row>
    <row r="35" spans="2:20" ht="13" x14ac:dyDescent="0.3">
      <c r="B35" s="92"/>
      <c r="C35" s="342"/>
      <c r="D35" s="340"/>
      <c r="E35" s="341"/>
      <c r="F35" s="341"/>
      <c r="G35" s="89">
        <f t="shared" si="0"/>
        <v>0</v>
      </c>
      <c r="H35" s="12" t="str">
        <f t="shared" si="2"/>
        <v/>
      </c>
      <c r="I35" s="8"/>
      <c r="K35" s="8"/>
      <c r="L35" s="8"/>
      <c r="M35" s="8"/>
      <c r="N35" s="8"/>
      <c r="O35" s="94"/>
      <c r="Q35" s="481"/>
      <c r="R35" s="483" t="str">
        <f t="shared" si="1"/>
        <v/>
      </c>
      <c r="S35" s="481"/>
      <c r="T35" s="481"/>
    </row>
    <row r="36" spans="2:20" ht="13" x14ac:dyDescent="0.3">
      <c r="B36" s="92"/>
      <c r="C36" s="347"/>
      <c r="D36" s="348"/>
      <c r="E36" s="349"/>
      <c r="F36" s="349"/>
      <c r="G36" s="350">
        <f t="shared" si="0"/>
        <v>0</v>
      </c>
      <c r="H36" s="351" t="str">
        <f t="shared" si="2"/>
        <v/>
      </c>
      <c r="I36" s="8">
        <v>10</v>
      </c>
      <c r="K36" s="8"/>
      <c r="L36" s="8"/>
      <c r="M36" s="8"/>
      <c r="N36" s="8"/>
      <c r="O36" s="94"/>
      <c r="Q36" s="481"/>
      <c r="R36" s="483" t="str">
        <f t="shared" si="1"/>
        <v/>
      </c>
      <c r="S36" s="481"/>
      <c r="T36" s="481"/>
    </row>
    <row r="37" spans="2:20" ht="13" x14ac:dyDescent="0.3">
      <c r="B37" s="92"/>
      <c r="C37" s="347"/>
      <c r="D37" s="348"/>
      <c r="E37" s="349"/>
      <c r="F37" s="349"/>
      <c r="G37" s="350">
        <f t="shared" si="0"/>
        <v>0</v>
      </c>
      <c r="H37" s="351" t="str">
        <f t="shared" si="2"/>
        <v/>
      </c>
      <c r="I37" s="8"/>
      <c r="K37" s="8"/>
      <c r="L37" s="8"/>
      <c r="M37" s="8"/>
      <c r="N37" s="8"/>
      <c r="O37" s="94"/>
      <c r="Q37" s="481"/>
      <c r="R37" s="483" t="str">
        <f t="shared" si="1"/>
        <v/>
      </c>
      <c r="S37" s="481"/>
      <c r="T37" s="481"/>
    </row>
    <row r="38" spans="2:20" ht="13" x14ac:dyDescent="0.3">
      <c r="B38" s="92"/>
      <c r="C38" s="342"/>
      <c r="D38" s="340"/>
      <c r="E38" s="341"/>
      <c r="F38" s="341"/>
      <c r="G38" s="89">
        <f t="shared" si="0"/>
        <v>0</v>
      </c>
      <c r="H38" s="12" t="str">
        <f t="shared" si="2"/>
        <v/>
      </c>
      <c r="I38" s="8">
        <v>11</v>
      </c>
      <c r="K38" s="424"/>
      <c r="L38" s="8"/>
      <c r="M38" s="8"/>
      <c r="N38" s="8"/>
      <c r="O38" s="94"/>
      <c r="Q38" s="481"/>
      <c r="R38" s="483" t="str">
        <f t="shared" si="1"/>
        <v/>
      </c>
      <c r="S38" s="481"/>
      <c r="T38" s="481"/>
    </row>
    <row r="39" spans="2:20" ht="13" x14ac:dyDescent="0.3">
      <c r="B39" s="92"/>
      <c r="C39" s="342"/>
      <c r="D39" s="340"/>
      <c r="E39" s="341"/>
      <c r="F39" s="341"/>
      <c r="G39" s="89">
        <f t="shared" si="0"/>
        <v>0</v>
      </c>
      <c r="H39" s="12" t="str">
        <f t="shared" si="2"/>
        <v/>
      </c>
      <c r="I39" s="8"/>
      <c r="K39" s="486"/>
      <c r="L39" s="8"/>
      <c r="M39" s="8"/>
      <c r="N39" s="8"/>
      <c r="O39" s="94"/>
      <c r="Q39" s="481"/>
      <c r="R39" s="483" t="str">
        <f t="shared" si="1"/>
        <v/>
      </c>
      <c r="S39" s="481"/>
      <c r="T39" s="481"/>
    </row>
    <row r="40" spans="2:20" ht="13" x14ac:dyDescent="0.3">
      <c r="B40" s="92"/>
      <c r="C40" s="347"/>
      <c r="D40" s="348"/>
      <c r="E40" s="349"/>
      <c r="F40" s="349"/>
      <c r="G40" s="350">
        <f t="shared" si="0"/>
        <v>0</v>
      </c>
      <c r="H40" s="351" t="str">
        <f t="shared" si="2"/>
        <v/>
      </c>
      <c r="I40" s="8">
        <v>12</v>
      </c>
      <c r="K40" s="486"/>
      <c r="L40" s="8"/>
      <c r="M40" s="8"/>
      <c r="N40" s="8"/>
      <c r="O40" s="94"/>
      <c r="Q40" s="481"/>
      <c r="R40" s="483" t="str">
        <f t="shared" si="1"/>
        <v/>
      </c>
      <c r="S40" s="481"/>
      <c r="T40" s="481"/>
    </row>
    <row r="41" spans="2:20" ht="13" x14ac:dyDescent="0.3">
      <c r="B41" s="92"/>
      <c r="C41" s="347"/>
      <c r="D41" s="348"/>
      <c r="E41" s="349"/>
      <c r="F41" s="349"/>
      <c r="G41" s="350">
        <f t="shared" si="0"/>
        <v>0</v>
      </c>
      <c r="H41" s="351" t="str">
        <f t="shared" si="2"/>
        <v/>
      </c>
      <c r="I41" s="8"/>
      <c r="K41" s="424"/>
      <c r="L41" s="8"/>
      <c r="M41" s="8"/>
      <c r="N41" s="8"/>
      <c r="O41" s="94"/>
      <c r="Q41" s="481"/>
      <c r="R41" s="483" t="str">
        <f t="shared" si="1"/>
        <v/>
      </c>
      <c r="S41" s="481"/>
      <c r="T41" s="481"/>
    </row>
    <row r="42" spans="2:20" ht="13" x14ac:dyDescent="0.3">
      <c r="B42" s="92"/>
      <c r="C42" s="342"/>
      <c r="D42" s="340"/>
      <c r="E42" s="341"/>
      <c r="F42" s="341"/>
      <c r="G42" s="89">
        <f t="shared" si="0"/>
        <v>0</v>
      </c>
      <c r="H42" s="12" t="str">
        <f t="shared" si="2"/>
        <v/>
      </c>
      <c r="I42" s="8">
        <v>13</v>
      </c>
      <c r="K42" s="8"/>
      <c r="L42" s="8"/>
      <c r="M42" s="8"/>
      <c r="N42" s="8"/>
      <c r="O42" s="94"/>
      <c r="Q42" s="481"/>
      <c r="R42" s="483" t="str">
        <f t="shared" si="1"/>
        <v/>
      </c>
      <c r="S42" s="481"/>
      <c r="T42" s="481"/>
    </row>
    <row r="43" spans="2:20" ht="13" x14ac:dyDescent="0.3">
      <c r="B43" s="92"/>
      <c r="C43" s="342"/>
      <c r="D43" s="340"/>
      <c r="E43" s="341"/>
      <c r="F43" s="341"/>
      <c r="G43" s="89">
        <f t="shared" si="0"/>
        <v>0</v>
      </c>
      <c r="H43" s="12" t="str">
        <f t="shared" si="2"/>
        <v/>
      </c>
      <c r="I43" s="8"/>
      <c r="K43" s="8"/>
      <c r="L43" s="8"/>
      <c r="M43" s="8"/>
      <c r="N43" s="8"/>
      <c r="O43" s="94"/>
      <c r="Q43" s="481"/>
      <c r="R43" s="483" t="str">
        <f t="shared" si="1"/>
        <v/>
      </c>
      <c r="S43" s="481"/>
      <c r="T43" s="481"/>
    </row>
    <row r="44" spans="2:20" ht="13" x14ac:dyDescent="0.3">
      <c r="B44" s="92"/>
      <c r="C44" s="347"/>
      <c r="D44" s="348"/>
      <c r="E44" s="349"/>
      <c r="F44" s="349"/>
      <c r="G44" s="350">
        <f t="shared" si="0"/>
        <v>0</v>
      </c>
      <c r="H44" s="351" t="str">
        <f t="shared" si="2"/>
        <v/>
      </c>
      <c r="I44" s="8">
        <v>14</v>
      </c>
      <c r="K44" s="8"/>
      <c r="L44" s="8"/>
      <c r="M44" s="8"/>
      <c r="N44" s="8"/>
      <c r="O44" s="94"/>
      <c r="Q44" s="481"/>
      <c r="R44" s="483" t="str">
        <f t="shared" si="1"/>
        <v/>
      </c>
      <c r="S44" s="481"/>
      <c r="T44" s="481"/>
    </row>
    <row r="45" spans="2:20" ht="13" x14ac:dyDescent="0.3">
      <c r="B45" s="92"/>
      <c r="C45" s="347"/>
      <c r="D45" s="348"/>
      <c r="E45" s="349"/>
      <c r="F45" s="349"/>
      <c r="G45" s="350">
        <f t="shared" si="0"/>
        <v>0</v>
      </c>
      <c r="H45" s="351" t="str">
        <f t="shared" si="2"/>
        <v/>
      </c>
      <c r="I45" s="8"/>
      <c r="L45" s="8"/>
      <c r="M45" s="8"/>
      <c r="N45" s="8"/>
      <c r="O45" s="94"/>
      <c r="Q45" s="481"/>
      <c r="R45" s="483" t="str">
        <f t="shared" si="1"/>
        <v/>
      </c>
      <c r="S45" s="481"/>
      <c r="T45" s="481"/>
    </row>
    <row r="46" spans="2:20" ht="13" x14ac:dyDescent="0.3">
      <c r="B46" s="92"/>
      <c r="C46" s="342"/>
      <c r="D46" s="340"/>
      <c r="E46" s="341"/>
      <c r="F46" s="341"/>
      <c r="G46" s="89">
        <f t="shared" si="0"/>
        <v>0</v>
      </c>
      <c r="H46" s="12" t="str">
        <f t="shared" si="2"/>
        <v/>
      </c>
      <c r="I46" s="8">
        <v>15</v>
      </c>
      <c r="L46" s="8"/>
      <c r="M46" s="8"/>
      <c r="N46" s="8"/>
      <c r="O46" s="94"/>
      <c r="Q46" s="481"/>
      <c r="R46" s="483" t="str">
        <f t="shared" si="1"/>
        <v/>
      </c>
      <c r="S46" s="481"/>
      <c r="T46" s="481"/>
    </row>
    <row r="47" spans="2:20" ht="13" x14ac:dyDescent="0.3">
      <c r="B47" s="92"/>
      <c r="C47" s="342"/>
      <c r="D47" s="340"/>
      <c r="E47" s="341"/>
      <c r="F47" s="341"/>
      <c r="G47" s="89">
        <f t="shared" si="0"/>
        <v>0</v>
      </c>
      <c r="H47" s="12" t="str">
        <f t="shared" si="2"/>
        <v/>
      </c>
      <c r="I47" s="8"/>
      <c r="L47" s="8"/>
      <c r="M47" s="8"/>
      <c r="N47" s="8"/>
      <c r="O47" s="94"/>
      <c r="Q47" s="481"/>
      <c r="R47" s="483" t="str">
        <f t="shared" si="1"/>
        <v/>
      </c>
      <c r="S47" s="481"/>
      <c r="T47" s="481"/>
    </row>
    <row r="48" spans="2:20" ht="13" x14ac:dyDescent="0.3">
      <c r="B48" s="92"/>
      <c r="C48" s="8"/>
      <c r="D48" s="8"/>
      <c r="E48" s="430" t="str">
        <f>IF(COUNT(E16:E47)=COUNT(F16:F47),"", "Please enter complete fill periods (i.e., equal number of min and max levels)!")</f>
        <v/>
      </c>
      <c r="F48" s="428"/>
      <c r="G48" s="8"/>
      <c r="H48" s="8"/>
      <c r="I48" s="8"/>
      <c r="J48" s="8"/>
      <c r="L48" s="8"/>
      <c r="M48" s="8"/>
      <c r="N48" s="8"/>
      <c r="O48" s="94"/>
      <c r="Q48" s="481"/>
      <c r="R48" s="481"/>
      <c r="S48" s="481"/>
      <c r="T48" s="481"/>
    </row>
    <row r="49" spans="2:20" ht="27" customHeight="1" thickBot="1" x14ac:dyDescent="0.35">
      <c r="B49" s="92"/>
      <c r="C49" s="8"/>
      <c r="D49" s="8"/>
      <c r="E49" s="429"/>
      <c r="F49" s="429"/>
      <c r="G49" s="8"/>
      <c r="H49" s="8"/>
      <c r="I49" s="8"/>
      <c r="J49" s="8"/>
      <c r="L49" s="8"/>
      <c r="M49" s="8"/>
      <c r="N49" s="8"/>
      <c r="O49" s="94"/>
      <c r="Q49" s="481"/>
      <c r="R49" s="481"/>
      <c r="S49" s="481"/>
      <c r="T49" s="481"/>
    </row>
    <row r="50" spans="2:20" x14ac:dyDescent="0.25">
      <c r="B50" s="92"/>
      <c r="C50" s="17" t="s">
        <v>0</v>
      </c>
      <c r="D50" s="18" t="str">
        <f>IF(D8="y","Vol at Start of Fill","Low/Min Level")</f>
        <v>Low/Min Level</v>
      </c>
      <c r="E50" s="18" t="str">
        <f>IF(D8="y","Vol at End of Fill","High/Max Level")</f>
        <v>High/Max Level</v>
      </c>
      <c r="F50" s="18" t="s">
        <v>13</v>
      </c>
      <c r="G50" s="67" t="s">
        <v>16</v>
      </c>
      <c r="H50" s="18" t="s">
        <v>41</v>
      </c>
      <c r="I50" s="70" t="s">
        <v>6</v>
      </c>
      <c r="J50" s="433" t="s">
        <v>11</v>
      </c>
      <c r="K50" s="434"/>
      <c r="L50" s="435"/>
      <c r="M50" s="51"/>
      <c r="N50" s="52"/>
      <c r="O50" s="94"/>
      <c r="P50" s="487"/>
      <c r="Q50" s="481"/>
      <c r="R50" s="481"/>
      <c r="S50" s="481"/>
      <c r="T50" s="481"/>
    </row>
    <row r="51" spans="2:20" ht="12.75" customHeight="1" x14ac:dyDescent="0.25">
      <c r="B51" s="92"/>
      <c r="C51" s="19"/>
      <c r="D51" s="20"/>
      <c r="E51" s="20"/>
      <c r="F51" s="20" t="s">
        <v>14</v>
      </c>
      <c r="G51" s="68" t="s">
        <v>15</v>
      </c>
      <c r="H51" s="20" t="s">
        <v>42</v>
      </c>
      <c r="I51" s="71" t="s">
        <v>15</v>
      </c>
      <c r="J51" s="20" t="s">
        <v>9</v>
      </c>
      <c r="K51" s="493" t="s">
        <v>232</v>
      </c>
      <c r="L51" s="46" t="s">
        <v>12</v>
      </c>
      <c r="M51" s="20" t="s">
        <v>24</v>
      </c>
      <c r="N51" s="23" t="s">
        <v>25</v>
      </c>
      <c r="O51" s="94"/>
      <c r="P51" s="8"/>
      <c r="Q51" s="481"/>
      <c r="R51" s="481"/>
      <c r="S51" s="481"/>
      <c r="T51" s="481"/>
    </row>
    <row r="52" spans="2:20" ht="26.25" customHeight="1" thickBot="1" x14ac:dyDescent="0.3">
      <c r="B52" s="92"/>
      <c r="C52" s="21"/>
      <c r="D52" s="22" t="str">
        <f>IF(D8="y","(gal)","(ft)")</f>
        <v>(ft)</v>
      </c>
      <c r="E52" s="22" t="str">
        <f>IF(D8="y","(gal)","(ft)")</f>
        <v>(ft)</v>
      </c>
      <c r="F52" s="22" t="s">
        <v>17</v>
      </c>
      <c r="G52" s="69" t="s">
        <v>17</v>
      </c>
      <c r="H52" s="22" t="s">
        <v>17</v>
      </c>
      <c r="I52" s="72" t="s">
        <v>17</v>
      </c>
      <c r="J52" s="305" t="s">
        <v>32</v>
      </c>
      <c r="K52" s="491" t="s">
        <v>233</v>
      </c>
      <c r="L52" s="305" t="s">
        <v>32</v>
      </c>
      <c r="M52" s="22" t="s">
        <v>58</v>
      </c>
      <c r="N52" s="87" t="s">
        <v>58</v>
      </c>
      <c r="O52" s="94"/>
      <c r="Q52" s="481"/>
      <c r="R52" s="481"/>
      <c r="S52" s="481"/>
      <c r="T52" s="481"/>
    </row>
    <row r="53" spans="2:20" ht="13" thickTop="1" x14ac:dyDescent="0.25">
      <c r="B53" s="92">
        <f t="shared" ref="B53:B67" si="3">IF(D53=0,0,1)</f>
        <v>0</v>
      </c>
      <c r="C53" s="73">
        <v>1</v>
      </c>
      <c r="D53" s="74">
        <f>IF(ISBLANK(E18),E19,E18)</f>
        <v>0</v>
      </c>
      <c r="E53" s="74">
        <f>IF(ISBLANK(F18),F19,F18)</f>
        <v>0</v>
      </c>
      <c r="F53" s="86" t="str">
        <f>IF(OR($D$7="c",$D$7="h"),($D53)*PI()*($D$10/2)^2*7.48/10^6,IF($D$7="r",$D53*$D$10*$D$11*7.48/10^6,IF($D$8="y",$D53/10^6,"error")))</f>
        <v>error</v>
      </c>
      <c r="G53" s="86" t="str">
        <f>IF(OR($D$7="c",$D$7="h"),($E53-$D53)*PI()*($D$10/2)^2*7.48/10^6,IF($D$7="r",($E53-$D53)*$D$10*$D$11*7.48/10^6,IF($D$8="y",($E53-$D53)/10^6,"error")))</f>
        <v>error</v>
      </c>
      <c r="H53" s="49"/>
      <c r="I53" s="75" t="str">
        <f>IF(D53+E53=0,"n/a",IF(OR($D$7="c",$D$7="h"),((D53+E53)/2)*PI()*($D$10/2)^2*7.48/10^6,IF($D$7="r",((D53+E53)/2)*$D$10*$D$11*7.48/10^6,IF($D$8="y",((D53+E53)/2)/10^6,""))))</f>
        <v>n/a</v>
      </c>
      <c r="J53" s="49" t="e">
        <f t="shared" ref="J53:J67" si="4">IF(G53=0,"n/a",G53/F53)</f>
        <v>#VALUE!</v>
      </c>
      <c r="K53" s="492" t="str">
        <f>IF(AND('Tank Summary'!$O$16="y",'Tank Summary'!$O$15 = "n"), IF(E53&lt;=$D$10, 10.2, 3.58*(E53/$D$10)+6.66), IF(AND('Tank Summary'!$O$16="y", 'Tank Summary'!$O$15="y"),IF(E53 &lt;= (PI()/4)*$D$10^3, 10.2, 3.58*(E53/$D$12)+6.66), "Tank mixing equations do not apply"))</f>
        <v>Tank mixing equations do not apply</v>
      </c>
      <c r="L53" s="76" t="e">
        <f>IF(F53=0,"n/a",((K53/1.13)*$D$13)/((F53*10^6/7.48)^(1/3)))</f>
        <v>#VALUE!</v>
      </c>
      <c r="M53" s="49" t="str">
        <f>IF(ISERROR(H19-H18),"n/a",IF(ISBLANK(E18), "n/a",H19-H18))</f>
        <v>n/a</v>
      </c>
      <c r="N53" s="50" t="str">
        <f>IF(ISERROR(H19-H18),"n/a",IF(ISBLANK(E18), H19-H18,"n/a"))</f>
        <v>n/a</v>
      </c>
      <c r="O53" s="94"/>
      <c r="Q53" s="481"/>
      <c r="R53" s="481"/>
      <c r="S53" s="481"/>
      <c r="T53" s="481"/>
    </row>
    <row r="54" spans="2:20" x14ac:dyDescent="0.25">
      <c r="B54" s="92">
        <f t="shared" si="3"/>
        <v>0</v>
      </c>
      <c r="C54" s="77">
        <v>2</v>
      </c>
      <c r="D54" s="74">
        <f>IF(ISBLANK(E20),E21,E20)</f>
        <v>0</v>
      </c>
      <c r="E54" s="74">
        <f>IF(ISBLANK(F20),F21,F20)</f>
        <v>0</v>
      </c>
      <c r="F54" s="32" t="str">
        <f>IF(OR($D$7="c",$D$7="h"),($D54)*PI()*($D$10/2)^2*7.48/10^6,IF($D$7="r",$D54*$D$10*$D$11*7.48/10^6,IF($D$8="y",$D54/10^6,"error")))</f>
        <v>error</v>
      </c>
      <c r="G54" s="32" t="str">
        <f>IF(OR($D$7="c",$D$7="h"),($E54-$D54)*PI()*($D$10/2)^2*7.48/10^6,IF($D$7="r",($E54-$D54)*$D$10*$D$11*7.48/10^6,IF($D$8="y",($E54-$D54)/10^6,"error")))</f>
        <v>error</v>
      </c>
      <c r="H54" s="49" t="str">
        <f>IF(D54,IF(OR($D$7="c",$D$7="h"),($E53-$D54)*PI()*($D$10/2)^2*7.48/10^6,IF($D$7="r",($E53-$D54)*$D$10*$D$11*7.48/10^6,IF($D$8="y",($E53-$D54)/10^6,""))),"")</f>
        <v/>
      </c>
      <c r="I54" s="75" t="str">
        <f>IF(D54+E54=0,"n/a",IF(OR($D$7="c",$D$7="h"),((D54+E54)/2)*PI()*($D$10/2)^2*7.48/10^6,IF($D$7="r",((D54+E54)/2)*$D$10*$D$11*7.48/10^6,IF($D$8="y",((D54+E54)/2)/10^6,""))))</f>
        <v>n/a</v>
      </c>
      <c r="J54" s="11" t="e">
        <f t="shared" si="4"/>
        <v>#VALUE!</v>
      </c>
      <c r="K54" s="492" t="str">
        <f>IF(AND('Tank Summary'!$O$16="y",'Tank Summary'!$O$15 = "n"), IF(E54&lt;=$D$10, 10.2, 3.58*(E54/$D$10)+6.66), IF(AND('Tank Summary'!$O$16="y", 'Tank Summary'!$O$15="y"),IF(E54 &lt;= (PI()/4)*$D$10^3, 10.2, 3.58*(E54/$D$12)+6.66), "Tank mixing equations do not apply"))</f>
        <v>Tank mixing equations do not apply</v>
      </c>
      <c r="L54" s="76" t="e">
        <f t="shared" ref="L54:L67" si="5">IF(F54=0,"n/a",((K54/1.13)*$D$13)/((F54*10^6/7.48)^(1/3)))</f>
        <v>#VALUE!</v>
      </c>
      <c r="M54" s="11" t="str">
        <f>IF(ISERROR(H21-H20),"n/a",IF(ISBLANK(E20), H20-H19,H21-H20))</f>
        <v>n/a</v>
      </c>
      <c r="N54" s="47" t="str">
        <f>IF(ISERROR(H21-H20),"n/a",IF(ISBLANK(E20), H21-H20,H20-H19))</f>
        <v>n/a</v>
      </c>
      <c r="O54" s="94"/>
      <c r="Q54" s="481"/>
      <c r="R54" s="481"/>
      <c r="S54" s="481"/>
      <c r="T54" s="481"/>
    </row>
    <row r="55" spans="2:20" x14ac:dyDescent="0.25">
      <c r="B55" s="92">
        <f t="shared" si="3"/>
        <v>0</v>
      </c>
      <c r="C55" s="77">
        <v>3</v>
      </c>
      <c r="D55" s="74">
        <f>IF(ISBLANK(E22),E23,E22)</f>
        <v>0</v>
      </c>
      <c r="E55" s="74">
        <f>IF(ISBLANK(F22),F23,F22)</f>
        <v>0</v>
      </c>
      <c r="F55" s="32" t="str">
        <f t="shared" ref="F55:F67" si="6">IF(OR($D$7="c",$D$7="h"),($D55)*PI()*($D$10/2)^2*7.48/10^6,IF($D$7="r",$D55*$D$10*$D$11*7.48/10^6,IF($D$8="y",$D55/10^6,"error")))</f>
        <v>error</v>
      </c>
      <c r="G55" s="32" t="str">
        <f t="shared" ref="G55:G67" si="7">IF(OR($D$7="c",$D$7="h"),($E55-$D55)*PI()*($D$10/2)^2*7.48/10^6,IF($D$7="r",($E55-$D55)*$D$10*$D$11*7.48/10^6,IF($D$8="y",($E55-$D55)/10^6,"error")))</f>
        <v>error</v>
      </c>
      <c r="H55" s="49" t="str">
        <f t="shared" ref="H55:H67" si="8">IF(D55,IF(OR($D$7="c",$D$7="h"),($E54-$D55)*PI()*($D$10/2)^2*7.48/10^6,IF($D$7="r",($E54-$D55)*$D$10*$D$11*7.48/10^6,IF($D$8="y",($E54-$D55)/10^6,""))),"")</f>
        <v/>
      </c>
      <c r="I55" s="75" t="str">
        <f t="shared" ref="I55:I67" si="9">IF(D55+E55=0,"n/a",IF(OR($D$7="c",$D$7="h"),((D55+E55)/2)*PI()*($D$10/2)^2*7.48/10^6,IF($D$7="r",((D55+E55)/2)*$D$10*$D$11*7.48/10^6,IF($D$8="y",((D55+E55)/2)/10^6,""))))</f>
        <v>n/a</v>
      </c>
      <c r="J55" s="11" t="e">
        <f t="shared" si="4"/>
        <v>#VALUE!</v>
      </c>
      <c r="K55" s="492" t="str">
        <f>IF(AND('Tank Summary'!$O$16="y",'Tank Summary'!$O$15 = "n"), IF(E55&lt;=$D$10, 10.2, 3.58*(E55/$D$10)+6.66), IF(AND('Tank Summary'!$O$16="y", 'Tank Summary'!$O$15="y"),IF(E55 &lt;= (PI()/4)*$D$10^3, 10.2, 3.58*(E55/$D$12)+6.66), "Tank mixing equations do not apply"))</f>
        <v>Tank mixing equations do not apply</v>
      </c>
      <c r="L55" s="76" t="e">
        <f t="shared" si="5"/>
        <v>#VALUE!</v>
      </c>
      <c r="M55" s="11" t="str">
        <f>IF(ISERROR(H23-H22),"n/a",IF(ISBLANK(E22), H22-H21,H23-H22))</f>
        <v>n/a</v>
      </c>
      <c r="N55" s="47" t="str">
        <f>IF(ISERROR(H23-H22),"n/a",IF(ISBLANK(E22), H23-H22,H22-H21))</f>
        <v>n/a</v>
      </c>
      <c r="O55" s="94"/>
      <c r="Q55" s="481"/>
      <c r="R55" s="481"/>
      <c r="S55" s="481"/>
      <c r="T55" s="481"/>
    </row>
    <row r="56" spans="2:20" x14ac:dyDescent="0.25">
      <c r="B56" s="92">
        <f t="shared" si="3"/>
        <v>0</v>
      </c>
      <c r="C56" s="77">
        <v>4</v>
      </c>
      <c r="D56" s="74">
        <f>IF(ISBLANK(E24),E25,E24)</f>
        <v>0</v>
      </c>
      <c r="E56" s="74">
        <f>IF(ISBLANK(F24),F25,F24)</f>
        <v>0</v>
      </c>
      <c r="F56" s="32" t="str">
        <f t="shared" si="6"/>
        <v>error</v>
      </c>
      <c r="G56" s="32" t="str">
        <f t="shared" si="7"/>
        <v>error</v>
      </c>
      <c r="H56" s="49" t="str">
        <f t="shared" si="8"/>
        <v/>
      </c>
      <c r="I56" s="75" t="str">
        <f t="shared" si="9"/>
        <v>n/a</v>
      </c>
      <c r="J56" s="11" t="e">
        <f t="shared" si="4"/>
        <v>#VALUE!</v>
      </c>
      <c r="K56" s="492" t="str">
        <f>IF(AND('Tank Summary'!$O$16="y",'Tank Summary'!$O$15 = "n"), IF(E56&lt;=$D$10, 10.2, 3.58*(E56/$D$10)+6.66), IF(AND('Tank Summary'!$O$16="y", 'Tank Summary'!$O$15="y"),IF(E56 &lt;= (PI()/4)*$D$10^3, 10.2, 3.58*(E56/$D$12)+6.66), "Tank mixing equations do not apply"))</f>
        <v>Tank mixing equations do not apply</v>
      </c>
      <c r="L56" s="76" t="e">
        <f t="shared" si="5"/>
        <v>#VALUE!</v>
      </c>
      <c r="M56" s="11" t="str">
        <f>IF(ISERROR(H25-H24),"n/a",IF(ISBLANK(E24), H24-H23,H25-H24))</f>
        <v>n/a</v>
      </c>
      <c r="N56" s="47" t="str">
        <f>IF(ISERROR(H25-H24),"n/a",IF(ISBLANK(E24), H25-H24,H24-H23))</f>
        <v>n/a</v>
      </c>
      <c r="O56" s="94"/>
      <c r="Q56" s="481"/>
      <c r="R56" s="481"/>
      <c r="S56" s="481"/>
      <c r="T56" s="481"/>
    </row>
    <row r="57" spans="2:20" x14ac:dyDescent="0.25">
      <c r="B57" s="92">
        <f t="shared" si="3"/>
        <v>0</v>
      </c>
      <c r="C57" s="77">
        <v>5</v>
      </c>
      <c r="D57" s="74">
        <f>IF(ISBLANK(E26),E27,E26)</f>
        <v>0</v>
      </c>
      <c r="E57" s="74">
        <f>IF(ISBLANK(F26),F27,F26)</f>
        <v>0</v>
      </c>
      <c r="F57" s="32" t="str">
        <f t="shared" si="6"/>
        <v>error</v>
      </c>
      <c r="G57" s="32" t="str">
        <f t="shared" si="7"/>
        <v>error</v>
      </c>
      <c r="H57" s="49" t="str">
        <f t="shared" si="8"/>
        <v/>
      </c>
      <c r="I57" s="75" t="str">
        <f t="shared" si="9"/>
        <v>n/a</v>
      </c>
      <c r="J57" s="11" t="e">
        <f t="shared" si="4"/>
        <v>#VALUE!</v>
      </c>
      <c r="K57" s="492" t="str">
        <f>IF(AND('Tank Summary'!$O$16="y",'Tank Summary'!$O$15 = "n"), IF(E57&lt;=$D$10, 10.2, 3.58*(E57/$D$10)+6.66), IF(AND('Tank Summary'!$O$16="y", 'Tank Summary'!$O$15="y"),IF(E57 &lt;= (PI()/4)*$D$10^3, 10.2, 3.58*(E57/$D$12)+6.66), "Tank mixing equations do not apply"))</f>
        <v>Tank mixing equations do not apply</v>
      </c>
      <c r="L57" s="76" t="e">
        <f t="shared" si="5"/>
        <v>#VALUE!</v>
      </c>
      <c r="M57" s="11" t="str">
        <f>IF(ISERROR(H27-H26),"n/a",IF(ISBLANK(E26), H26-H25,H27-H26))</f>
        <v>n/a</v>
      </c>
      <c r="N57" s="47" t="str">
        <f>IF(ISERROR(H27-H26),"n/a",IF(ISBLANK(E26), H27-H26,H26-H25))</f>
        <v>n/a</v>
      </c>
      <c r="O57" s="94"/>
      <c r="Q57" s="481"/>
      <c r="R57" s="481"/>
      <c r="S57" s="481"/>
      <c r="T57" s="481"/>
    </row>
    <row r="58" spans="2:20" x14ac:dyDescent="0.25">
      <c r="B58" s="92">
        <f t="shared" si="3"/>
        <v>0</v>
      </c>
      <c r="C58" s="77">
        <v>6</v>
      </c>
      <c r="D58" s="74">
        <f>IF(ISBLANK(E28),E29,E28)</f>
        <v>0</v>
      </c>
      <c r="E58" s="74">
        <f>IF(ISBLANK(F28),F29,F28)</f>
        <v>0</v>
      </c>
      <c r="F58" s="32" t="str">
        <f t="shared" si="6"/>
        <v>error</v>
      </c>
      <c r="G58" s="32" t="str">
        <f t="shared" si="7"/>
        <v>error</v>
      </c>
      <c r="H58" s="49" t="str">
        <f t="shared" si="8"/>
        <v/>
      </c>
      <c r="I58" s="75" t="str">
        <f t="shared" si="9"/>
        <v>n/a</v>
      </c>
      <c r="J58" s="11" t="e">
        <f t="shared" si="4"/>
        <v>#VALUE!</v>
      </c>
      <c r="K58" s="492" t="str">
        <f>IF(AND('Tank Summary'!$O$16="y",'Tank Summary'!$O$15 = "n"), IF(E58&lt;=$D$10, 10.2, 3.58*(E58/$D$10)+6.66), IF(AND('Tank Summary'!$O$16="y", 'Tank Summary'!$O$15="y"),IF(E58 &lt;= (PI()/4)*$D$10^3, 10.2, 3.58*(E58/$D$12)+6.66), "Tank mixing equations do not apply"))</f>
        <v>Tank mixing equations do not apply</v>
      </c>
      <c r="L58" s="76" t="e">
        <f t="shared" si="5"/>
        <v>#VALUE!</v>
      </c>
      <c r="M58" s="11" t="str">
        <f>IF(ISERROR(H29-H28),"n/a",IF(ISBLANK(E28), H28-H27,H29-H28))</f>
        <v>n/a</v>
      </c>
      <c r="N58" s="47" t="str">
        <f>IF(ISERROR(H29-H28),"n/a",IF(ISBLANK(E28), H29-H28,H28-H27))</f>
        <v>n/a</v>
      </c>
      <c r="O58" s="94"/>
      <c r="Q58" s="481"/>
      <c r="R58" s="481"/>
      <c r="S58" s="481"/>
      <c r="T58" s="481"/>
    </row>
    <row r="59" spans="2:20" x14ac:dyDescent="0.25">
      <c r="B59" s="92">
        <f t="shared" si="3"/>
        <v>0</v>
      </c>
      <c r="C59" s="77">
        <v>7</v>
      </c>
      <c r="D59" s="74">
        <f>IF(ISBLANK(E30),E31,E30)</f>
        <v>0</v>
      </c>
      <c r="E59" s="74">
        <f>IF(ISBLANK(F30),F31,F30)</f>
        <v>0</v>
      </c>
      <c r="F59" s="32" t="str">
        <f t="shared" si="6"/>
        <v>error</v>
      </c>
      <c r="G59" s="32" t="str">
        <f t="shared" si="7"/>
        <v>error</v>
      </c>
      <c r="H59" s="49" t="str">
        <f t="shared" si="8"/>
        <v/>
      </c>
      <c r="I59" s="75" t="str">
        <f t="shared" si="9"/>
        <v>n/a</v>
      </c>
      <c r="J59" s="11" t="e">
        <f t="shared" si="4"/>
        <v>#VALUE!</v>
      </c>
      <c r="K59" s="492" t="str">
        <f>IF(AND('Tank Summary'!$O$16="y",'Tank Summary'!$O$15 = "n"), IF(E59&lt;=$D$10, 10.2, 3.58*(E59/$D$10)+6.66), IF(AND('Tank Summary'!$O$16="y", 'Tank Summary'!$O$15="y"),IF(E59 &lt;= (PI()/4)*$D$10^3, 10.2, 3.58*(E59/$D$12)+6.66), "Tank mixing equations do not apply"))</f>
        <v>Tank mixing equations do not apply</v>
      </c>
      <c r="L59" s="76" t="e">
        <f t="shared" si="5"/>
        <v>#VALUE!</v>
      </c>
      <c r="M59" s="11" t="str">
        <f>IF(ISERROR(H31-H30),"n/a",IF(ISBLANK(E30), H30-H29,H31-H30))</f>
        <v>n/a</v>
      </c>
      <c r="N59" s="47" t="str">
        <f>IF(ISERROR(H31-H30),"n/a",IF(ISBLANK(E30), H31-H30,H30-H29))</f>
        <v>n/a</v>
      </c>
      <c r="O59" s="94"/>
      <c r="Q59" s="481"/>
      <c r="R59" s="481"/>
      <c r="S59" s="481"/>
      <c r="T59" s="481"/>
    </row>
    <row r="60" spans="2:20" x14ac:dyDescent="0.25">
      <c r="B60" s="92">
        <f t="shared" si="3"/>
        <v>0</v>
      </c>
      <c r="C60" s="77">
        <v>8</v>
      </c>
      <c r="D60" s="74">
        <f>IF(ISBLANK(E32),E33,E32)</f>
        <v>0</v>
      </c>
      <c r="E60" s="74">
        <f>IF(ISBLANK(F32),F33,F32)</f>
        <v>0</v>
      </c>
      <c r="F60" s="32" t="str">
        <f t="shared" si="6"/>
        <v>error</v>
      </c>
      <c r="G60" s="32" t="str">
        <f t="shared" si="7"/>
        <v>error</v>
      </c>
      <c r="H60" s="49" t="str">
        <f t="shared" si="8"/>
        <v/>
      </c>
      <c r="I60" s="75" t="str">
        <f t="shared" si="9"/>
        <v>n/a</v>
      </c>
      <c r="J60" s="11" t="e">
        <f t="shared" si="4"/>
        <v>#VALUE!</v>
      </c>
      <c r="K60" s="492" t="str">
        <f>IF(AND('Tank Summary'!$O$16="y",'Tank Summary'!$O$15 = "n"), IF(E60&lt;=$D$10, 10.2, 3.58*(E60/$D$10)+6.66), IF(AND('Tank Summary'!$O$16="y", 'Tank Summary'!$O$15="y"),IF(E60 &lt;= (PI()/4)*$D$10^3, 10.2, 3.58*(E60/$D$12)+6.66), "Tank mixing equations do not apply"))</f>
        <v>Tank mixing equations do not apply</v>
      </c>
      <c r="L60" s="76" t="e">
        <f t="shared" si="5"/>
        <v>#VALUE!</v>
      </c>
      <c r="M60" s="11" t="str">
        <f>IF(ISERROR(H33-H32),"n/a",IF(ISBLANK(E32), H32-H31,H33-H32))</f>
        <v>n/a</v>
      </c>
      <c r="N60" s="47" t="str">
        <f>IF(ISERROR(H33-H32),"n/a",IF(ISBLANK(E32), H33-H32,H32-H31))</f>
        <v>n/a</v>
      </c>
      <c r="O60" s="94"/>
      <c r="Q60" s="481"/>
      <c r="R60" s="481"/>
      <c r="S60" s="481"/>
      <c r="T60" s="481"/>
    </row>
    <row r="61" spans="2:20" x14ac:dyDescent="0.25">
      <c r="B61" s="92">
        <f t="shared" si="3"/>
        <v>0</v>
      </c>
      <c r="C61" s="77">
        <v>9</v>
      </c>
      <c r="D61" s="74">
        <f>IF(ISBLANK(E34),E35,E34)</f>
        <v>0</v>
      </c>
      <c r="E61" s="74">
        <f>IF(ISBLANK(F34),F35,F34)</f>
        <v>0</v>
      </c>
      <c r="F61" s="32" t="str">
        <f t="shared" si="6"/>
        <v>error</v>
      </c>
      <c r="G61" s="32" t="str">
        <f t="shared" si="7"/>
        <v>error</v>
      </c>
      <c r="H61" s="49" t="str">
        <f t="shared" si="8"/>
        <v/>
      </c>
      <c r="I61" s="75" t="str">
        <f t="shared" si="9"/>
        <v>n/a</v>
      </c>
      <c r="J61" s="11" t="e">
        <f t="shared" si="4"/>
        <v>#VALUE!</v>
      </c>
      <c r="K61" s="492" t="str">
        <f>IF(AND('Tank Summary'!$O$16="y",'Tank Summary'!$O$15 = "n"), IF(E61&lt;=$D$10, 10.2, 3.58*(E61/$D$10)+6.66), IF(AND('Tank Summary'!$O$16="y", 'Tank Summary'!$O$15="y"),IF(E61 &lt;= (PI()/4)*$D$10^3, 10.2, 3.58*(E61/$D$12)+6.66), "Tank mixing equations do not apply"))</f>
        <v>Tank mixing equations do not apply</v>
      </c>
      <c r="L61" s="76" t="e">
        <f t="shared" si="5"/>
        <v>#VALUE!</v>
      </c>
      <c r="M61" s="11" t="str">
        <f>IF(ISERROR(H35-H34),"n/a",IF(ISBLANK(E34), H34-H33,H35-H34))</f>
        <v>n/a</v>
      </c>
      <c r="N61" s="47" t="str">
        <f>IF(ISERROR(H35-H34),"n/a",IF(ISBLANK(E34), H35-H34,H34-H33))</f>
        <v>n/a</v>
      </c>
      <c r="O61" s="94"/>
      <c r="Q61" s="481"/>
      <c r="R61" s="481"/>
      <c r="S61" s="481"/>
      <c r="T61" s="481"/>
    </row>
    <row r="62" spans="2:20" x14ac:dyDescent="0.25">
      <c r="B62" s="92">
        <f t="shared" si="3"/>
        <v>0</v>
      </c>
      <c r="C62" s="77">
        <v>10</v>
      </c>
      <c r="D62" s="74">
        <f>IF(ISBLANK(E36),E37,E36)</f>
        <v>0</v>
      </c>
      <c r="E62" s="74">
        <f>IF(ISBLANK(F36),F37,F36)</f>
        <v>0</v>
      </c>
      <c r="F62" s="32" t="str">
        <f t="shared" si="6"/>
        <v>error</v>
      </c>
      <c r="G62" s="32" t="str">
        <f t="shared" si="7"/>
        <v>error</v>
      </c>
      <c r="H62" s="49" t="str">
        <f t="shared" si="8"/>
        <v/>
      </c>
      <c r="I62" s="75" t="str">
        <f t="shared" si="9"/>
        <v>n/a</v>
      </c>
      <c r="J62" s="11" t="e">
        <f t="shared" si="4"/>
        <v>#VALUE!</v>
      </c>
      <c r="K62" s="492" t="str">
        <f>IF(AND('Tank Summary'!$O$16="y",'Tank Summary'!$O$15 = "n"), IF(E62&lt;=$D$10, 10.2, 3.58*(E62/$D$10)+6.66), IF(AND('Tank Summary'!$O$16="y", 'Tank Summary'!$O$15="y"),IF(E62 &lt;= (PI()/4)*$D$10^3, 10.2, 3.58*(E62/$D$12)+6.66), "Tank mixing equations do not apply"))</f>
        <v>Tank mixing equations do not apply</v>
      </c>
      <c r="L62" s="76" t="e">
        <f t="shared" si="5"/>
        <v>#VALUE!</v>
      </c>
      <c r="M62" s="11" t="str">
        <f>IF(ISERROR(H37-H36),"n/a",IF(ISBLANK(E36), H36-H35,H37-H36))</f>
        <v>n/a</v>
      </c>
      <c r="N62" s="47" t="str">
        <f>IF(ISERROR(H37-H36),"n/a",IF(ISBLANK(E36), H37-H36,H36-H35))</f>
        <v>n/a</v>
      </c>
      <c r="O62" s="94"/>
      <c r="Q62" s="481"/>
      <c r="R62" s="481"/>
      <c r="S62" s="481"/>
      <c r="T62" s="481"/>
    </row>
    <row r="63" spans="2:20" x14ac:dyDescent="0.25">
      <c r="B63" s="92">
        <f t="shared" si="3"/>
        <v>0</v>
      </c>
      <c r="C63" s="77">
        <v>11</v>
      </c>
      <c r="D63" s="74">
        <f>IF(ISBLANK(E38),E39,E38)</f>
        <v>0</v>
      </c>
      <c r="E63" s="74">
        <f>IF(ISBLANK(F38),F39,F38)</f>
        <v>0</v>
      </c>
      <c r="F63" s="32" t="str">
        <f t="shared" si="6"/>
        <v>error</v>
      </c>
      <c r="G63" s="32" t="str">
        <f t="shared" si="7"/>
        <v>error</v>
      </c>
      <c r="H63" s="49" t="str">
        <f t="shared" si="8"/>
        <v/>
      </c>
      <c r="I63" s="75" t="str">
        <f t="shared" si="9"/>
        <v>n/a</v>
      </c>
      <c r="J63" s="11" t="e">
        <f t="shared" si="4"/>
        <v>#VALUE!</v>
      </c>
      <c r="K63" s="492" t="str">
        <f>IF(AND('Tank Summary'!$O$16="y",'Tank Summary'!$O$15 = "n"), IF(E63&lt;=$D$10, 10.2, 3.58*(E63/$D$10)+6.66), IF(AND('Tank Summary'!$O$16="y", 'Tank Summary'!$O$15="y"),IF(E63 &lt;= (PI()/4)*$D$10^3, 10.2, 3.58*(E63/$D$12)+6.66), "Tank mixing equations do not apply"))</f>
        <v>Tank mixing equations do not apply</v>
      </c>
      <c r="L63" s="76" t="e">
        <f t="shared" si="5"/>
        <v>#VALUE!</v>
      </c>
      <c r="M63" s="11" t="str">
        <f>IF(ISERROR(H39-H38),"n/a",IF(ISBLANK(E38), H38-H37,H39-H38))</f>
        <v>n/a</v>
      </c>
      <c r="N63" s="47" t="str">
        <f>IF(ISERROR(H39-H38),"n/a",IF(ISBLANK(E38), H39-H38,H38-H37))</f>
        <v>n/a</v>
      </c>
      <c r="O63" s="94"/>
      <c r="Q63" s="481"/>
      <c r="R63" s="481"/>
      <c r="S63" s="481"/>
      <c r="T63" s="481"/>
    </row>
    <row r="64" spans="2:20" x14ac:dyDescent="0.25">
      <c r="B64" s="92">
        <f t="shared" si="3"/>
        <v>0</v>
      </c>
      <c r="C64" s="77">
        <v>12</v>
      </c>
      <c r="D64" s="74">
        <f>IF(ISBLANK(E40),E41,E40)</f>
        <v>0</v>
      </c>
      <c r="E64" s="74">
        <f>IF(ISBLANK(F40),F41,F40)</f>
        <v>0</v>
      </c>
      <c r="F64" s="32" t="str">
        <f t="shared" si="6"/>
        <v>error</v>
      </c>
      <c r="G64" s="32" t="str">
        <f t="shared" si="7"/>
        <v>error</v>
      </c>
      <c r="H64" s="49" t="str">
        <f t="shared" si="8"/>
        <v/>
      </c>
      <c r="I64" s="75" t="str">
        <f t="shared" si="9"/>
        <v>n/a</v>
      </c>
      <c r="J64" s="11" t="e">
        <f t="shared" si="4"/>
        <v>#VALUE!</v>
      </c>
      <c r="K64" s="492" t="str">
        <f>IF(AND('Tank Summary'!$O$16="y",'Tank Summary'!$O$15 = "n"), IF(E64&lt;=$D$10, 10.2, 3.58*(E64/$D$10)+6.66), IF(AND('Tank Summary'!$O$16="y", 'Tank Summary'!$O$15="y"),IF(E64 &lt;= (PI()/4)*$D$10^3, 10.2, 3.58*(E64/$D$12)+6.66), "Tank mixing equations do not apply"))</f>
        <v>Tank mixing equations do not apply</v>
      </c>
      <c r="L64" s="76" t="e">
        <f t="shared" si="5"/>
        <v>#VALUE!</v>
      </c>
      <c r="M64" s="11" t="str">
        <f>IF(ISERROR(H41-H40),"n/a",IF(ISBLANK(E40), H40-H39,H41-H40))</f>
        <v>n/a</v>
      </c>
      <c r="N64" s="47" t="str">
        <f>IF(ISERROR(H41-H40),"n/a",IF(ISBLANK(E40), H41-H40,H40-H39))</f>
        <v>n/a</v>
      </c>
      <c r="O64" s="94"/>
      <c r="Q64" s="481"/>
      <c r="R64" s="481"/>
      <c r="S64" s="481"/>
      <c r="T64" s="481"/>
    </row>
    <row r="65" spans="1:20" x14ac:dyDescent="0.25">
      <c r="B65" s="92">
        <f t="shared" si="3"/>
        <v>0</v>
      </c>
      <c r="C65" s="77">
        <v>13</v>
      </c>
      <c r="D65" s="74">
        <f>IF(ISBLANK(E42),E43,E42)</f>
        <v>0</v>
      </c>
      <c r="E65" s="74">
        <f>IF(ISBLANK(F42),F43,F42)</f>
        <v>0</v>
      </c>
      <c r="F65" s="32" t="str">
        <f t="shared" si="6"/>
        <v>error</v>
      </c>
      <c r="G65" s="32" t="str">
        <f t="shared" si="7"/>
        <v>error</v>
      </c>
      <c r="H65" s="49" t="str">
        <f t="shared" si="8"/>
        <v/>
      </c>
      <c r="I65" s="75" t="str">
        <f t="shared" si="9"/>
        <v>n/a</v>
      </c>
      <c r="J65" s="11" t="e">
        <f t="shared" si="4"/>
        <v>#VALUE!</v>
      </c>
      <c r="K65" s="492" t="str">
        <f>IF(AND('Tank Summary'!$O$16="y",'Tank Summary'!$O$15 = "n"), IF(E65&lt;=$D$10, 10.2, 3.58*(E65/$D$10)+6.66), IF(AND('Tank Summary'!$O$16="y", 'Tank Summary'!$O$15="y"),IF(E65 &lt;= (PI()/4)*$D$10^3, 10.2, 3.58*(E65/$D$12)+6.66), "Tank mixing equations do not apply"))</f>
        <v>Tank mixing equations do not apply</v>
      </c>
      <c r="L65" s="76" t="e">
        <f t="shared" si="5"/>
        <v>#VALUE!</v>
      </c>
      <c r="M65" s="11" t="str">
        <f>IF(ISERROR(H43-H42),"n/a",IF(ISBLANK(E42), H42-H41,H43-H42))</f>
        <v>n/a</v>
      </c>
      <c r="N65" s="47" t="str">
        <f>IF(ISERROR(H43-H42),"n/a",IF(ISBLANK(E42), H43-H42,H42-H41))</f>
        <v>n/a</v>
      </c>
      <c r="O65" s="94"/>
      <c r="Q65" s="481"/>
      <c r="R65" s="481"/>
      <c r="S65" s="481"/>
      <c r="T65" s="481"/>
    </row>
    <row r="66" spans="1:20" x14ac:dyDescent="0.25">
      <c r="B66" s="92">
        <f t="shared" si="3"/>
        <v>0</v>
      </c>
      <c r="C66" s="77">
        <v>14</v>
      </c>
      <c r="D66" s="74">
        <f>IF(ISBLANK(E44),E45,E44)</f>
        <v>0</v>
      </c>
      <c r="E66" s="74">
        <f>IF(ISBLANK(F44),F45,F44)</f>
        <v>0</v>
      </c>
      <c r="F66" s="32" t="str">
        <f t="shared" si="6"/>
        <v>error</v>
      </c>
      <c r="G66" s="32" t="str">
        <f t="shared" si="7"/>
        <v>error</v>
      </c>
      <c r="H66" s="49" t="str">
        <f t="shared" si="8"/>
        <v/>
      </c>
      <c r="I66" s="75" t="str">
        <f t="shared" si="9"/>
        <v>n/a</v>
      </c>
      <c r="J66" s="11" t="e">
        <f t="shared" si="4"/>
        <v>#VALUE!</v>
      </c>
      <c r="K66" s="492" t="str">
        <f>IF(AND('Tank Summary'!$O$16="y",'Tank Summary'!$O$15 = "n"), IF(E66&lt;=$D$10, 10.2, 3.58*(E66/$D$10)+6.66), IF(AND('Tank Summary'!$O$16="y", 'Tank Summary'!$O$15="y"),IF(E66 &lt;= (PI()/4)*$D$10^3, 10.2, 3.58*(E66/$D$12)+6.66), "Tank mixing equations do not apply"))</f>
        <v>Tank mixing equations do not apply</v>
      </c>
      <c r="L66" s="76" t="e">
        <f t="shared" si="5"/>
        <v>#VALUE!</v>
      </c>
      <c r="M66" s="11" t="str">
        <f>IF(ISERROR(H45-H44),"n/a",IF(ISBLANK(E44), H44-H43,H45-H44))</f>
        <v>n/a</v>
      </c>
      <c r="N66" s="47" t="str">
        <f>IF(ISERROR(H45-H44),"n/a",IF(ISBLANK(E44), H45-H44,H44-H43))</f>
        <v>n/a</v>
      </c>
      <c r="O66" s="94"/>
      <c r="Q66" s="481"/>
      <c r="R66" s="481"/>
      <c r="S66" s="481"/>
      <c r="T66" s="481"/>
    </row>
    <row r="67" spans="1:20" ht="13" thickBot="1" x14ac:dyDescent="0.3">
      <c r="B67" s="92">
        <f t="shared" si="3"/>
        <v>0</v>
      </c>
      <c r="C67" s="78">
        <v>15</v>
      </c>
      <c r="D67" s="79">
        <f>IF(ISBLANK(E46),E47,E46)</f>
        <v>0</v>
      </c>
      <c r="E67" s="79">
        <f>IF(ISBLANK(F46),F47,F46)</f>
        <v>0</v>
      </c>
      <c r="F67" s="127" t="str">
        <f t="shared" si="6"/>
        <v>error</v>
      </c>
      <c r="G67" s="127" t="str">
        <f t="shared" si="7"/>
        <v>error</v>
      </c>
      <c r="H67" s="128" t="str">
        <f t="shared" si="8"/>
        <v/>
      </c>
      <c r="I67" s="129" t="str">
        <f t="shared" si="9"/>
        <v>n/a</v>
      </c>
      <c r="J67" s="48" t="e">
        <f t="shared" si="4"/>
        <v>#VALUE!</v>
      </c>
      <c r="K67" s="492" t="str">
        <f>IF(AND('Tank Summary'!$O$16="y",'Tank Summary'!$O$15 = "n"), IF(E67&lt;=$D$10, 10.2, 3.58*(E67/$D$10)+6.66), IF(AND('Tank Summary'!$O$16="y", 'Tank Summary'!$O$15="y"),IF(E67 &lt;= (PI()/4)*$D$10^3, 10.2, 3.58*(E67/$D$12)+6.66), "Tank mixing equations do not apply"))</f>
        <v>Tank mixing equations do not apply</v>
      </c>
      <c r="L67" s="48" t="e">
        <f t="shared" si="5"/>
        <v>#VALUE!</v>
      </c>
      <c r="M67" s="48" t="str">
        <f>IF(ISERROR(H47-H46),"n/a",IF(ISBLANK(E46), H46-H45,H47-H46))</f>
        <v>n/a</v>
      </c>
      <c r="N67" s="65" t="str">
        <f>IF(ISERROR(H47-H46),"n/a",IF(ISBLANK(E46), H47-H46,H46-H45))</f>
        <v>n/a</v>
      </c>
      <c r="O67" s="94"/>
      <c r="Q67" s="481"/>
      <c r="R67" s="481"/>
      <c r="S67" s="481"/>
      <c r="T67" s="481"/>
    </row>
    <row r="68" spans="1:20" ht="13" x14ac:dyDescent="0.3">
      <c r="B68" s="92"/>
      <c r="C68" s="8"/>
      <c r="D68" s="25"/>
      <c r="E68" s="26"/>
      <c r="F68" s="26"/>
      <c r="G68" s="26"/>
      <c r="H68" s="26"/>
      <c r="I68" s="27"/>
      <c r="J68" s="27"/>
      <c r="K68" s="27"/>
      <c r="L68" s="8"/>
      <c r="M68" s="98"/>
      <c r="N68" s="8"/>
      <c r="O68" s="94"/>
      <c r="Q68" s="481"/>
      <c r="R68" s="481"/>
      <c r="S68" s="481"/>
      <c r="T68" s="481"/>
    </row>
    <row r="69" spans="1:20" ht="13.5" thickBot="1" x14ac:dyDescent="0.35">
      <c r="A69" s="94"/>
      <c r="B69" s="92"/>
      <c r="C69" s="99" t="s">
        <v>40</v>
      </c>
      <c r="D69" s="8"/>
      <c r="E69" s="8"/>
      <c r="F69" s="8"/>
      <c r="G69" s="27"/>
      <c r="H69" s="366"/>
      <c r="I69" s="366" t="s">
        <v>18</v>
      </c>
      <c r="J69" s="366"/>
      <c r="K69" s="366"/>
      <c r="L69" s="100"/>
      <c r="M69" s="98"/>
      <c r="N69" s="27"/>
      <c r="O69" s="94"/>
      <c r="Q69" s="481"/>
      <c r="R69" s="481"/>
      <c r="S69" s="481"/>
      <c r="T69" s="481"/>
    </row>
    <row r="70" spans="1:20" ht="13" x14ac:dyDescent="0.3">
      <c r="B70" s="92"/>
      <c r="C70" s="57" t="s">
        <v>39</v>
      </c>
      <c r="D70" s="58"/>
      <c r="E70" s="61" t="e">
        <f>SUM(G53:G67)/COUNTIF(G53:G67,"&gt;0")</f>
        <v>#DIV/0!</v>
      </c>
      <c r="F70" s="52" t="s">
        <v>4</v>
      </c>
      <c r="G70" s="27"/>
      <c r="H70" s="7" t="str">
        <f>IF(D8="y","Avg Vol at Start of Fill","Avg Min Water Level")</f>
        <v>Avg Min Water Level</v>
      </c>
      <c r="I70" s="38"/>
      <c r="J70" s="35" t="e">
        <f>IF('Tank Summary'!O16="n","",SUM(D53:D67)/SUM(B53:B67))</f>
        <v>#DIV/0!</v>
      </c>
      <c r="K70" s="15" t="str">
        <f>IF(D8="y","gal","ft")</f>
        <v>ft</v>
      </c>
      <c r="L70" s="8"/>
      <c r="M70" s="8"/>
      <c r="N70" s="98"/>
      <c r="O70" s="94"/>
      <c r="Q70" s="481"/>
      <c r="R70" s="481"/>
      <c r="S70" s="481"/>
      <c r="T70" s="481"/>
    </row>
    <row r="71" spans="1:20" ht="13" x14ac:dyDescent="0.3">
      <c r="B71" s="92"/>
      <c r="C71" s="4" t="s">
        <v>43</v>
      </c>
      <c r="D71" s="55"/>
      <c r="E71" s="2" t="e">
        <f>SUM(H53:H67)/COUNTIF(H53:H67,"&gt;0")</f>
        <v>#DIV/0!</v>
      </c>
      <c r="F71" s="5" t="s">
        <v>5</v>
      </c>
      <c r="G71" s="8"/>
      <c r="H71" s="39" t="s">
        <v>55</v>
      </c>
      <c r="I71" s="37"/>
      <c r="J71" s="36" t="e">
        <f>IF('Tank Summary'!O16="n","",AVERAGE(J53:J67))</f>
        <v>#VALUE!</v>
      </c>
      <c r="K71" s="16"/>
      <c r="L71" s="8"/>
      <c r="M71" s="8"/>
      <c r="N71" s="8"/>
      <c r="O71" s="94"/>
    </row>
    <row r="72" spans="1:20" ht="13" x14ac:dyDescent="0.3">
      <c r="B72" s="92"/>
      <c r="C72" s="39" t="s">
        <v>36</v>
      </c>
      <c r="D72" s="63"/>
      <c r="E72" s="130" t="e">
        <f>AVERAGE(M53:M67)</f>
        <v>#DIV/0!</v>
      </c>
      <c r="F72" s="16" t="s">
        <v>2</v>
      </c>
      <c r="G72" s="8"/>
      <c r="H72" s="39" t="s">
        <v>56</v>
      </c>
      <c r="I72" s="37"/>
      <c r="J72" s="36" t="e">
        <f>IF('Tank Summary'!O16="n","",AVERAGE(L53:L67))</f>
        <v>#VALUE!</v>
      </c>
      <c r="K72" s="16"/>
      <c r="L72" s="8"/>
      <c r="M72" s="8"/>
      <c r="N72" s="8"/>
      <c r="O72" s="94"/>
    </row>
    <row r="73" spans="1:20" ht="13" x14ac:dyDescent="0.3">
      <c r="B73" s="92"/>
      <c r="C73" s="39" t="s">
        <v>37</v>
      </c>
      <c r="D73" s="63"/>
      <c r="E73" s="131" t="e">
        <f>AVERAGE(N53:N67)</f>
        <v>#DIV/0!</v>
      </c>
      <c r="F73" s="62" t="s">
        <v>2</v>
      </c>
      <c r="G73" s="8"/>
      <c r="H73" s="39" t="str">
        <f>IF(D8="y","Avg Measured Vol Change","Avg Measured Water Level Change")</f>
        <v>Avg Measured Water Level Change</v>
      </c>
      <c r="I73" s="37"/>
      <c r="J73" s="83" t="e">
        <f>IF('Tank Summary'!O16="n","",(SUM(E53:E67)/SUM(B53:B67))-J70)</f>
        <v>#DIV/0!</v>
      </c>
      <c r="K73" s="16" t="str">
        <f>IF(D8="y","gal","ft")</f>
        <v>ft</v>
      </c>
      <c r="L73" s="8"/>
      <c r="M73" s="8"/>
      <c r="N73" s="8"/>
      <c r="O73" s="94"/>
    </row>
    <row r="74" spans="1:20" ht="24.75" customHeight="1" x14ac:dyDescent="0.3">
      <c r="B74" s="92"/>
      <c r="C74" s="39" t="s">
        <v>28</v>
      </c>
      <c r="D74" s="63"/>
      <c r="E74" s="34" t="e">
        <f>E70*10^6/(E72*24*60)</f>
        <v>#DIV/0!</v>
      </c>
      <c r="F74" s="41" t="s">
        <v>26</v>
      </c>
      <c r="G74" s="8"/>
      <c r="H74" s="505" t="str">
        <f>IF(D8="y","Desired Vol Change Needed for Good Mixing","Desired Water Level Change Needed for Good Mixing")</f>
        <v>Desired Water Level Change Needed for Good Mixing</v>
      </c>
      <c r="I74" s="506"/>
      <c r="J74" s="45" t="e">
        <f>IF('Tank Summary'!O16="n","",$J$70*J72)</f>
        <v>#DIV/0!</v>
      </c>
      <c r="K74" s="43" t="str">
        <f>IF(D8="y","gal","ft")</f>
        <v>ft</v>
      </c>
      <c r="L74" s="8"/>
      <c r="M74" s="8"/>
      <c r="N74" s="8"/>
      <c r="O74" s="94"/>
    </row>
    <row r="75" spans="1:20" ht="24.75" customHeight="1" x14ac:dyDescent="0.3">
      <c r="B75" s="92"/>
      <c r="C75" s="39" t="s">
        <v>29</v>
      </c>
      <c r="D75" s="63"/>
      <c r="E75" s="34" t="e">
        <f>E71*10^6/(E73*24*60)</f>
        <v>#DIV/0!</v>
      </c>
      <c r="F75" s="41" t="s">
        <v>26</v>
      </c>
      <c r="G75" s="8"/>
      <c r="H75" s="39" t="s">
        <v>57</v>
      </c>
      <c r="I75" s="432"/>
      <c r="J75" s="160" t="e">
        <f>IF('Tank Summary'!O16="n","",J73/J74)</f>
        <v>#DIV/0!</v>
      </c>
      <c r="K75" s="5"/>
      <c r="L75" s="8"/>
      <c r="M75" s="8"/>
      <c r="N75" s="8"/>
      <c r="O75" s="94"/>
    </row>
    <row r="76" spans="1:20" ht="27" customHeight="1" thickBot="1" x14ac:dyDescent="0.35">
      <c r="B76" s="92"/>
      <c r="C76" s="59" t="s">
        <v>38</v>
      </c>
      <c r="D76" s="60"/>
      <c r="E76" s="64" t="e">
        <f>E72+E73</f>
        <v>#DIV/0!</v>
      </c>
      <c r="F76" s="24" t="s">
        <v>2</v>
      </c>
      <c r="G76" s="8"/>
      <c r="H76" s="42" t="s">
        <v>54</v>
      </c>
      <c r="I76" s="431"/>
      <c r="J76" s="44" t="e">
        <f>IF('Tank Summary'!O16="n","",(((((SUM(F53:F67)/SUM(B53:B67))*10^6/7.48)^(1/3))*$J$71)/9)*12)</f>
        <v>#DIV/0!</v>
      </c>
      <c r="K76" s="3" t="s">
        <v>31</v>
      </c>
      <c r="L76" s="8"/>
      <c r="M76" s="8"/>
      <c r="N76" s="8"/>
      <c r="O76" s="94"/>
    </row>
    <row r="77" spans="1:20" ht="14.25" customHeight="1" x14ac:dyDescent="0.3">
      <c r="B77" s="92"/>
      <c r="C77" s="39" t="s">
        <v>53</v>
      </c>
      <c r="D77" s="56"/>
      <c r="E77" s="36" t="e">
        <f>E70/E76</f>
        <v>#DIV/0!</v>
      </c>
      <c r="F77" s="5" t="s">
        <v>3</v>
      </c>
      <c r="G77" s="8"/>
      <c r="H77" s="8"/>
      <c r="I77" s="507" t="str">
        <f>IF('Tank Summary'!O26="no","The tank mixing equations are not applicable.",IF(J73&lt;J74,"Mixing is at an undesirable level, use Mixing Analysis (Section II) to determine strategies that will increase mixing.","Mixing is at a desired level."))</f>
        <v>The tank mixing equations are not applicable.</v>
      </c>
      <c r="J77" s="507"/>
      <c r="K77" s="507"/>
      <c r="L77" s="508"/>
      <c r="M77" s="8"/>
      <c r="N77" s="8"/>
      <c r="O77" s="94"/>
    </row>
    <row r="78" spans="1:20" ht="13" x14ac:dyDescent="0.3">
      <c r="B78" s="92"/>
      <c r="C78" s="39" t="s">
        <v>44</v>
      </c>
      <c r="D78" s="56"/>
      <c r="E78" s="36" t="e">
        <f>AVERAGE(I53:I67)</f>
        <v>#DIV/0!</v>
      </c>
      <c r="F78" s="5" t="s">
        <v>5</v>
      </c>
      <c r="G78" s="8"/>
      <c r="H78" s="8"/>
      <c r="I78" s="508"/>
      <c r="J78" s="508"/>
      <c r="K78" s="508"/>
      <c r="L78" s="508"/>
      <c r="M78" s="8"/>
      <c r="N78" s="8"/>
      <c r="O78" s="94"/>
    </row>
    <row r="79" spans="1:20" ht="13.5" thickBot="1" x14ac:dyDescent="0.35">
      <c r="B79" s="92"/>
      <c r="C79" s="42" t="s">
        <v>8</v>
      </c>
      <c r="D79" s="40"/>
      <c r="E79" s="54" t="e">
        <f>E78/E77</f>
        <v>#DIV/0!</v>
      </c>
      <c r="F79" s="6" t="s">
        <v>2</v>
      </c>
      <c r="G79" s="8"/>
      <c r="H79" s="8"/>
      <c r="I79" s="508"/>
      <c r="J79" s="508"/>
      <c r="K79" s="508"/>
      <c r="L79" s="508"/>
      <c r="M79" s="8"/>
      <c r="N79" s="8"/>
      <c r="O79" s="94"/>
    </row>
    <row r="80" spans="1:20" ht="12.75" customHeight="1" x14ac:dyDescent="0.3">
      <c r="B80" s="92"/>
      <c r="C80" s="93"/>
      <c r="D80" s="503" t="e">
        <f>IF(E79&gt;5, "Turnover time is at an undesirable level, use Turnover Time Analysis (Step 2) to determine operational strategies that will reduce turnover time.","Turnover Time is at a desired level.")</f>
        <v>#DIV/0!</v>
      </c>
      <c r="E80" s="503"/>
      <c r="F80" s="503"/>
      <c r="G80" s="8"/>
      <c r="H80" s="126"/>
      <c r="I80" s="508"/>
      <c r="J80" s="508"/>
      <c r="K80" s="508"/>
      <c r="L80" s="508"/>
      <c r="M80" s="8"/>
      <c r="N80" s="8"/>
      <c r="O80" s="94"/>
    </row>
    <row r="81" spans="2:15" ht="11.25" customHeight="1" x14ac:dyDescent="0.3">
      <c r="B81" s="92"/>
      <c r="C81" s="8"/>
      <c r="D81" s="504"/>
      <c r="E81" s="504"/>
      <c r="F81" s="504"/>
      <c r="G81" s="8"/>
      <c r="H81" s="126"/>
      <c r="I81" s="82"/>
      <c r="J81" s="82"/>
      <c r="K81" s="82"/>
      <c r="L81" s="82"/>
      <c r="M81" s="8"/>
      <c r="N81" s="8"/>
      <c r="O81" s="94"/>
    </row>
    <row r="82" spans="2:15" ht="12.75" customHeight="1" x14ac:dyDescent="0.25">
      <c r="B82" s="92"/>
      <c r="C82" s="8"/>
      <c r="D82" s="504"/>
      <c r="E82" s="504"/>
      <c r="F82" s="504"/>
      <c r="G82" s="8"/>
      <c r="H82" s="8"/>
      <c r="I82" s="8"/>
      <c r="J82" s="29"/>
      <c r="K82" s="29"/>
      <c r="L82" s="8"/>
      <c r="M82" s="8"/>
      <c r="N82" s="8"/>
      <c r="O82" s="94"/>
    </row>
    <row r="83" spans="2:15" ht="16.5" customHeight="1" x14ac:dyDescent="0.25">
      <c r="B83" s="92"/>
      <c r="C83" s="8"/>
      <c r="D83" s="504"/>
      <c r="E83" s="504"/>
      <c r="F83" s="504"/>
      <c r="G83" s="8"/>
      <c r="H83" s="8"/>
      <c r="I83" s="8"/>
      <c r="J83" s="29"/>
      <c r="K83" s="29"/>
      <c r="L83" s="8"/>
      <c r="M83" s="8"/>
      <c r="N83" s="8"/>
      <c r="O83" s="94"/>
    </row>
    <row r="84" spans="2:15" ht="13" thickBot="1" x14ac:dyDescent="0.3">
      <c r="B84" s="101"/>
      <c r="C84" s="102"/>
      <c r="D84" s="102"/>
      <c r="E84" s="102"/>
      <c r="F84" s="102"/>
      <c r="G84" s="102"/>
      <c r="H84" s="102"/>
      <c r="I84" s="102"/>
      <c r="J84" s="102"/>
      <c r="K84" s="102"/>
      <c r="L84" s="102"/>
      <c r="M84" s="102"/>
      <c r="N84" s="102"/>
      <c r="O84" s="103"/>
    </row>
    <row r="85" spans="2:15" ht="18.5" thickBot="1" x14ac:dyDescent="0.45">
      <c r="B85" s="116" t="s">
        <v>188</v>
      </c>
      <c r="C85" s="111"/>
      <c r="D85" s="111"/>
      <c r="E85" s="120"/>
      <c r="F85" s="121"/>
      <c r="G85" s="111"/>
      <c r="H85" s="111"/>
      <c r="I85" s="111"/>
      <c r="J85" s="111"/>
      <c r="K85" s="111"/>
      <c r="L85" s="118"/>
      <c r="M85" s="118"/>
      <c r="N85" s="118"/>
      <c r="O85" s="119"/>
    </row>
    <row r="86" spans="2:15" x14ac:dyDescent="0.25">
      <c r="B86" s="92"/>
      <c r="C86" s="29"/>
      <c r="D86" s="29"/>
      <c r="E86" s="29"/>
      <c r="F86" s="29"/>
      <c r="G86" s="29"/>
      <c r="H86" s="29"/>
      <c r="I86" s="29"/>
      <c r="J86" s="29"/>
      <c r="K86" s="29"/>
      <c r="L86" s="8"/>
      <c r="M86" s="8"/>
      <c r="N86" s="8"/>
      <c r="O86" s="94"/>
    </row>
    <row r="87" spans="2:15" ht="13" x14ac:dyDescent="0.3">
      <c r="B87" s="92"/>
      <c r="C87" s="95" t="s">
        <v>65</v>
      </c>
      <c r="D87" s="29"/>
      <c r="E87" s="29"/>
      <c r="F87" s="29"/>
      <c r="G87" s="29"/>
      <c r="H87" s="29"/>
      <c r="I87" s="29"/>
      <c r="J87" s="29"/>
      <c r="K87" s="29"/>
      <c r="L87" s="8"/>
      <c r="M87" s="8"/>
      <c r="N87" s="8"/>
      <c r="O87" s="94"/>
    </row>
    <row r="88" spans="2:15" ht="13" x14ac:dyDescent="0.3">
      <c r="B88" s="92"/>
      <c r="C88" s="95" t="s">
        <v>207</v>
      </c>
      <c r="D88" s="29"/>
      <c r="E88" s="29"/>
      <c r="F88" s="29"/>
      <c r="G88" s="29"/>
      <c r="H88" s="29"/>
      <c r="I88" s="29"/>
      <c r="J88" s="29"/>
      <c r="K88" s="29"/>
      <c r="L88" s="8"/>
      <c r="M88" s="8"/>
      <c r="N88" s="8"/>
      <c r="O88" s="94"/>
    </row>
    <row r="89" spans="2:15" ht="13" x14ac:dyDescent="0.3">
      <c r="B89" s="92"/>
      <c r="C89" s="95"/>
      <c r="D89" s="29"/>
      <c r="E89" s="29"/>
      <c r="F89" s="29"/>
      <c r="G89" s="29"/>
      <c r="H89" s="29"/>
      <c r="I89" s="29"/>
      <c r="J89" s="29"/>
      <c r="K89" s="29"/>
      <c r="L89" s="8"/>
      <c r="M89" s="8"/>
      <c r="N89" s="8"/>
      <c r="O89" s="94"/>
    </row>
    <row r="90" spans="2:15" ht="13" x14ac:dyDescent="0.3">
      <c r="B90" s="92"/>
      <c r="C90" s="95" t="s">
        <v>77</v>
      </c>
      <c r="D90" s="29"/>
      <c r="E90" s="29"/>
      <c r="F90" s="29"/>
      <c r="G90" s="29"/>
      <c r="H90" s="29"/>
      <c r="I90" s="29"/>
      <c r="J90" s="29"/>
      <c r="K90" s="29"/>
      <c r="L90" s="8"/>
      <c r="M90" s="8"/>
      <c r="N90" s="8"/>
      <c r="O90" s="94"/>
    </row>
    <row r="91" spans="2:15" ht="13" x14ac:dyDescent="0.3">
      <c r="B91" s="92"/>
      <c r="C91" s="344" t="s">
        <v>294</v>
      </c>
      <c r="D91" s="488"/>
      <c r="E91" s="488"/>
      <c r="F91" s="488"/>
      <c r="G91" s="488"/>
      <c r="H91" s="29"/>
      <c r="I91" s="29"/>
      <c r="J91" s="29"/>
      <c r="K91" s="29"/>
      <c r="L91" s="8"/>
      <c r="M91" s="8"/>
      <c r="N91" s="8"/>
      <c r="O91" s="94"/>
    </row>
    <row r="92" spans="2:15" ht="13" x14ac:dyDescent="0.3">
      <c r="B92" s="92"/>
      <c r="C92" s="95"/>
      <c r="D92" s="29"/>
      <c r="E92" s="29"/>
      <c r="F92" s="29"/>
      <c r="G92" s="29"/>
      <c r="H92" s="29"/>
      <c r="I92" s="29"/>
      <c r="J92" s="29"/>
      <c r="K92" s="29"/>
      <c r="L92" s="8"/>
      <c r="M92" s="8"/>
      <c r="N92" s="8"/>
      <c r="O92" s="94"/>
    </row>
    <row r="93" spans="2:15" ht="13" x14ac:dyDescent="0.3">
      <c r="B93" s="92"/>
      <c r="C93" s="95" t="s">
        <v>280</v>
      </c>
      <c r="D93" s="29"/>
      <c r="E93" s="29"/>
      <c r="F93" s="29"/>
      <c r="G93" s="29"/>
      <c r="H93" s="29"/>
      <c r="I93" s="29"/>
      <c r="J93" s="29"/>
      <c r="K93" s="29"/>
      <c r="L93" s="8"/>
      <c r="M93" s="8"/>
      <c r="N93" s="8"/>
      <c r="O93" s="94"/>
    </row>
    <row r="94" spans="2:15" ht="13" x14ac:dyDescent="0.3">
      <c r="B94" s="92"/>
      <c r="C94" s="95"/>
      <c r="D94" s="29"/>
      <c r="E94" s="29"/>
      <c r="F94" s="29"/>
      <c r="G94" s="29"/>
      <c r="H94" s="29"/>
      <c r="I94" s="29"/>
      <c r="J94" s="29"/>
      <c r="K94" s="29"/>
      <c r="L94" s="8"/>
      <c r="M94" s="8"/>
      <c r="N94" s="8"/>
      <c r="O94" s="94"/>
    </row>
    <row r="95" spans="2:15" ht="13" x14ac:dyDescent="0.3">
      <c r="B95" s="92"/>
      <c r="C95" s="29"/>
      <c r="D95" s="133" t="s">
        <v>27</v>
      </c>
      <c r="E95" s="81" t="s">
        <v>45</v>
      </c>
      <c r="F95" s="81" t="s">
        <v>46</v>
      </c>
      <c r="G95" s="81" t="s">
        <v>47</v>
      </c>
      <c r="H95" s="81" t="s">
        <v>48</v>
      </c>
      <c r="I95" s="81" t="s">
        <v>49</v>
      </c>
      <c r="J95" s="29"/>
      <c r="K95" s="29"/>
      <c r="L95" s="8"/>
      <c r="M95" s="8"/>
      <c r="N95" s="8"/>
      <c r="O95" s="94"/>
    </row>
    <row r="96" spans="2:15" ht="13" x14ac:dyDescent="0.3">
      <c r="B96" s="92"/>
      <c r="C96" s="122" t="str">
        <f>IF(OR($D$7="c",D7="h"), "Tank diameter", IF($D$7="r","Longest Sidewall Length",""))</f>
        <v/>
      </c>
      <c r="D96" s="31">
        <f>'Tank#4'!D10</f>
        <v>0</v>
      </c>
      <c r="E96" s="66">
        <f>$D$96</f>
        <v>0</v>
      </c>
      <c r="F96" s="66">
        <f>$D$96</f>
        <v>0</v>
      </c>
      <c r="G96" s="66">
        <f>$D$96</f>
        <v>0</v>
      </c>
      <c r="H96" s="66">
        <f>$D$96</f>
        <v>0</v>
      </c>
      <c r="I96" s="66">
        <f>$D$96</f>
        <v>0</v>
      </c>
      <c r="J96" s="95" t="str">
        <f>IF(D8="y","","ft")</f>
        <v>ft</v>
      </c>
      <c r="K96" s="95"/>
      <c r="L96" s="8"/>
      <c r="M96" s="8"/>
      <c r="N96" s="8"/>
      <c r="O96" s="94"/>
    </row>
    <row r="97" spans="2:15" ht="13" x14ac:dyDescent="0.3">
      <c r="B97" s="92"/>
      <c r="C97" s="95" t="str">
        <f>IF(OR($D$7="c",D7="h"),"",IF($D$7="r","Shortest Sidewall Length",""))</f>
        <v/>
      </c>
      <c r="D97" s="33">
        <f>'Tank#4'!D11</f>
        <v>0</v>
      </c>
      <c r="E97" s="66">
        <f>$D$97</f>
        <v>0</v>
      </c>
      <c r="F97" s="66">
        <f>$D$97</f>
        <v>0</v>
      </c>
      <c r="G97" s="66">
        <f>$D$97</f>
        <v>0</v>
      </c>
      <c r="H97" s="66">
        <f>$D$97</f>
        <v>0</v>
      </c>
      <c r="I97" s="66">
        <f>$D$97</f>
        <v>0</v>
      </c>
      <c r="J97" s="95" t="str">
        <f>IF(D8="y","","ft")</f>
        <v>ft</v>
      </c>
      <c r="K97" s="95"/>
      <c r="L97" s="8"/>
      <c r="M97" s="8"/>
      <c r="N97" s="8"/>
      <c r="O97" s="94"/>
    </row>
    <row r="98" spans="2:15" ht="13" x14ac:dyDescent="0.3">
      <c r="B98" s="92"/>
      <c r="C98" s="346" t="s">
        <v>30</v>
      </c>
      <c r="D98" s="124">
        <f>'Tank#4'!D13</f>
        <v>0</v>
      </c>
      <c r="E98" s="345"/>
      <c r="F98" s="345"/>
      <c r="G98" s="345"/>
      <c r="H98" s="345"/>
      <c r="I98" s="345"/>
      <c r="J98" s="95" t="s">
        <v>1</v>
      </c>
      <c r="K98" s="95"/>
      <c r="L98" s="8"/>
      <c r="M98" s="8"/>
      <c r="N98" s="8"/>
      <c r="O98" s="94"/>
    </row>
    <row r="99" spans="2:15" ht="13" x14ac:dyDescent="0.3">
      <c r="B99" s="92"/>
      <c r="C99" s="346" t="str">
        <f>IF(D8="y","Fraction Full (Max Level)","High/Max Level")</f>
        <v>High/Max Level</v>
      </c>
      <c r="D99" s="80" t="b">
        <f>IF(OR($D$7="c",$D$7="r",$D$7="h"),(SUM(E53:E67)/COUNTIF(E53:E67,"&gt;0")),IF($D$8="y",(SUM(E53:E67)/COUNTIF(E53:E67,"&gt;0"))/($D$6*10^6)))</f>
        <v>0</v>
      </c>
      <c r="E99" s="345"/>
      <c r="F99" s="345"/>
      <c r="G99" s="345"/>
      <c r="H99" s="345"/>
      <c r="I99" s="345"/>
      <c r="J99" s="95" t="str">
        <f>IF(D8="y","","ft")</f>
        <v>ft</v>
      </c>
      <c r="K99" s="95"/>
      <c r="L99" s="8"/>
      <c r="M99" s="8"/>
      <c r="N99" s="8"/>
      <c r="O99" s="94"/>
    </row>
    <row r="100" spans="2:15" ht="13" x14ac:dyDescent="0.3">
      <c r="B100" s="92"/>
      <c r="C100" s="346" t="str">
        <f>IF(D8="y","Fraction Full (Min Level)","Low/Min Level")</f>
        <v>Low/Min Level</v>
      </c>
      <c r="D100" s="80" t="b">
        <f>IF(OR($D$7="c",$D$7="r",$D$7="s",$D$7="h"),(SUM(D53:D67)/COUNTIF(D53:D67,"&gt;0")),IF($D$8="y",(SUM(D53:D67)/COUNTIF(D53:D67,"&gt;0"))/($D$6*10^6)))</f>
        <v>0</v>
      </c>
      <c r="E100" s="345"/>
      <c r="F100" s="345"/>
      <c r="G100" s="345"/>
      <c r="H100" s="345"/>
      <c r="I100" s="345"/>
      <c r="J100" s="95" t="str">
        <f>IF(D8="y","","ft")</f>
        <v>ft</v>
      </c>
      <c r="K100" s="95"/>
      <c r="L100" s="8"/>
      <c r="M100" s="8"/>
      <c r="N100" s="8"/>
      <c r="O100" s="94"/>
    </row>
    <row r="101" spans="2:15" ht="15.5" x14ac:dyDescent="0.35">
      <c r="B101" s="92"/>
      <c r="C101" s="125" t="str">
        <f>IF(OR(D7="c", D7="r",D7="h"),"H/D ratio","")</f>
        <v/>
      </c>
      <c r="D101" s="490" t="str">
        <f t="shared" ref="D101:I101" si="10">IF(OR($D$7="c", $D$7="r",$D$7="h"),D99/D96,"")</f>
        <v/>
      </c>
      <c r="E101" s="124" t="str">
        <f t="shared" si="10"/>
        <v/>
      </c>
      <c r="F101" s="124" t="str">
        <f t="shared" si="10"/>
        <v/>
      </c>
      <c r="G101" s="124" t="str">
        <f t="shared" si="10"/>
        <v/>
      </c>
      <c r="H101" s="124" t="str">
        <f t="shared" si="10"/>
        <v/>
      </c>
      <c r="I101" s="124" t="str">
        <f t="shared" si="10"/>
        <v/>
      </c>
      <c r="J101" s="134"/>
      <c r="K101" s="148"/>
      <c r="L101" s="8"/>
      <c r="M101" s="8"/>
      <c r="N101" s="8"/>
      <c r="O101" s="94"/>
    </row>
    <row r="102" spans="2:15" ht="13" x14ac:dyDescent="0.3">
      <c r="B102" s="92"/>
      <c r="C102" s="123" t="str">
        <f>IF(D8="y","Actual Vol Change","Actual Level Change")</f>
        <v>Actual Level Change</v>
      </c>
      <c r="D102" s="124" t="e">
        <f>'Tank#4'!J73</f>
        <v>#DIV/0!</v>
      </c>
      <c r="E102" s="80" t="str">
        <f>IF(OR($D$7="c",$D$7="h",$D$7="r"),E99-E100,IF($D$8="y",($D$6*10^6)*(E99-E100),""))</f>
        <v/>
      </c>
      <c r="F102" s="80" t="str">
        <f>IF(OR($D$7="c",$D$7="h",$D$7="r"),F99-F100,IF($D$8="y",($D$6*10^6)*(F99-F100),""))</f>
        <v/>
      </c>
      <c r="G102" s="80" t="str">
        <f>IF(OR($D$7="c",$D$7="h",$D$7="r"),G99-G100,IF($D$8="y",($D$6*10^6)*(G99-G100),""))</f>
        <v/>
      </c>
      <c r="H102" s="80" t="str">
        <f>IF(OR($D$7="c",$D$7="h",$D$7="r"),H99-H100,IF($D$8="y",($D$6*10^6)*(H99-H100),""))</f>
        <v/>
      </c>
      <c r="I102" s="80" t="str">
        <f>IF(OR($D$7="c",$D$7="h",$D$7="r"),I99-I100,IF($D$8="y",($D$6*10^6)*(I99-I100),""))</f>
        <v/>
      </c>
      <c r="J102" s="95" t="str">
        <f>IF(OR(D7="c",D7="r"),"ft",IF(AND(D7="n",D8="y"),"gal",""))</f>
        <v/>
      </c>
      <c r="K102" s="95"/>
      <c r="L102" s="8"/>
      <c r="M102" s="8"/>
      <c r="N102" s="8"/>
      <c r="O102" s="94"/>
    </row>
    <row r="103" spans="2:15" ht="13" x14ac:dyDescent="0.3">
      <c r="B103" s="92"/>
      <c r="C103" s="123" t="s">
        <v>94</v>
      </c>
      <c r="D103" s="494" t="e">
        <f>IF('Tank Summary'!$K$16="y",IF((D99/$D$10)&lt;=1,10.2,(3.58*(D99/$D$10)+6.66)),"Tank mixing equations do not apply")</f>
        <v>#DIV/0!</v>
      </c>
      <c r="E103" s="494" t="e">
        <f>IF('Tank Summary'!$K$16="y",IF((E99/$D$10)&lt;=1,10.2,(3.58*(E99/$D$10)+6.66)),"Tank mixing equations do not apply")</f>
        <v>#DIV/0!</v>
      </c>
      <c r="F103" s="494" t="e">
        <f>IF('Tank Summary'!$K$16="y",IF((F99/$D$10)&lt;=1,10.2,(3.58*(F99/$D$10)+6.66)),"Tank mixing equations do not apply")</f>
        <v>#DIV/0!</v>
      </c>
      <c r="G103" s="494" t="e">
        <f>IF('Tank Summary'!$K$16="y",IF((G99/$D$10)&lt;=1,10.2,(3.58*(G99/$D$10)+6.66)),"Tank mixing equations do not apply")</f>
        <v>#DIV/0!</v>
      </c>
      <c r="H103" s="494" t="e">
        <f>IF('Tank Summary'!$K$16="y",IF((H99/$D$10)&lt;=1,10.2,(3.58*(H99/$D$10)+6.66)),"Tank mixing equations do not apply")</f>
        <v>#DIV/0!</v>
      </c>
      <c r="I103" s="494" t="e">
        <f>IF('Tank Summary'!$K$16="y",IF((I99/$D$10)&lt;=1,10.2,(3.58*(I99/$D$10)+6.66)),"Tank mixing equations do not apply")</f>
        <v>#DIV/0!</v>
      </c>
      <c r="J103" s="95"/>
      <c r="K103" s="95"/>
      <c r="L103" s="8"/>
      <c r="M103" s="8"/>
      <c r="N103" s="8"/>
      <c r="O103" s="94"/>
    </row>
    <row r="104" spans="2:15" ht="26" x14ac:dyDescent="0.3">
      <c r="B104" s="92"/>
      <c r="C104" s="123" t="str">
        <f>IF(D8="y","Desired Vol Change Needed for Good Mixing","Desired Level Change Needed for Good Mixing")</f>
        <v>Desired Level Change Needed for Good Mixing</v>
      </c>
      <c r="D104" s="124" t="e">
        <f>'Tank#4'!J74</f>
        <v>#DIV/0!</v>
      </c>
      <c r="E104" s="80" t="str">
        <f>IF(OR($D$7="c",$D$7="h"),(((E103/1.13)*E98)/((E100*PI()*(E96/2)^2)^(1/3)))*E100,IF($D$7="r",(((E103/1.13)*E98)/((E100*E96*E97)^(1/3)))*E100,IF($D$8="y",(((E103/1.13)*E98)/(((E100*$D$6*10^6)/7.480519)^(1/3)))*(E100*$D$6*10^6),"")))</f>
        <v/>
      </c>
      <c r="F104" s="80" t="str">
        <f>IF(OR($D$7="c",$D$7="h"),(((F103/1.13)*F98)/((F100*PI()*(F96/2)^2)^(1/3)))*F100,IF($D$7="r",(((F103/1.13)*F98)/((F100*F96*F97)^(1/3)))*F100,IF($D$8="y",(((F103/1.13)*F98)/(((F100*$D$6*10^6)/7.480519)^(1/3)))*(F100*$D$6*10^6),"")))</f>
        <v/>
      </c>
      <c r="G104" s="80" t="str">
        <f>IF(OR($D$7="c",$D$7="h"),(((G103/1.13)*G98)/((G100*PI()*(G96/2)^2)^(1/3)))*G100,IF($D$7="r",(((G103/1.13)*G98)/((G100*G96*G97)^(1/3)))*G100,IF($D$8="y",(((G103/1.13)*G98)/(((G100*$D$6*10^6)/7.480519)^(1/3)))*(G100*$D$6*10^6),"")))</f>
        <v/>
      </c>
      <c r="H104" s="80" t="str">
        <f>IF(OR($D$7="c",$D$7="h"),(((H103/1.13)*H98)/((H100*PI()*(H96/2)^2)^(1/3)))*H100,IF($D$7="r",(((H103/1.13)*H98)/((H100*H96*H97)^(1/3)))*H100,IF($D$8="y",(((H103/1.13)*H98)/(((H100*$D$6*10^6)/7.480519)^(1/3)))*(H100*$D$6*10^6),"")))</f>
        <v/>
      </c>
      <c r="I104" s="80" t="str">
        <f>IF(OR($D$7="c",$D$7="h"),(((I103/1.13)*I98)/((I100*PI()*(I96/2)^2)^(1/3)))*I100,IF($D$7="r",(((I103/1.13)*I98)/((I100*I96*I97)^(1/3)))*I100,IF($D$8="y",(((I103/1.13)*I98)/(((I100*$D$6*10^6)/7.480519)^(1/3)))*(I100*$D$6*10^6),"")))</f>
        <v/>
      </c>
      <c r="J104" s="95" t="str">
        <f>IF(OR(D7="c",D7="r"),"ft",IF(AND(D7="n",D8="y"),"gal",""))</f>
        <v/>
      </c>
      <c r="K104" s="95"/>
      <c r="L104" s="8"/>
      <c r="M104" s="8"/>
      <c r="N104" s="8"/>
      <c r="O104" s="94"/>
    </row>
    <row r="105" spans="2:15" ht="39" customHeight="1" x14ac:dyDescent="0.3">
      <c r="B105" s="92"/>
      <c r="C105" s="105" t="str">
        <f>IF(D8="y","","Pressure Drop After Change in Min Water Level")</f>
        <v>Pressure Drop After Change in Min Water Level</v>
      </c>
      <c r="D105" s="12"/>
      <c r="E105" s="12">
        <f>IF($D$8="y","",($D$100-E100)/2.31)</f>
        <v>0</v>
      </c>
      <c r="F105" s="12">
        <f>IF($D$8="y","",($D$100-F100)/2.31)</f>
        <v>0</v>
      </c>
      <c r="G105" s="12">
        <f>IF($D$8="y","",($D$100-G100)/2.31)</f>
        <v>0</v>
      </c>
      <c r="H105" s="12">
        <f>IF($D$8="y","",($D$100-H100)/2.31)</f>
        <v>0</v>
      </c>
      <c r="I105" s="12">
        <f>IF($D$8="y","",($D$100-I100)/2.31)</f>
        <v>0</v>
      </c>
      <c r="J105" s="95" t="str">
        <f>IF(OR(D7="c",D7="r",D7="h"),"psi",IF(AND(D7="n",D8="y"),"",""))</f>
        <v/>
      </c>
      <c r="K105" s="95"/>
      <c r="L105" s="8"/>
      <c r="M105" s="8"/>
      <c r="N105" s="8"/>
      <c r="O105" s="94"/>
    </row>
    <row r="106" spans="2:15" ht="13" x14ac:dyDescent="0.3">
      <c r="B106" s="92"/>
      <c r="C106" s="123" t="s">
        <v>287</v>
      </c>
      <c r="D106" s="33" t="e">
        <f>'Tank#4'!E74</f>
        <v>#DIV/0!</v>
      </c>
      <c r="E106" s="33" t="e">
        <f>D106</f>
        <v>#DIV/0!</v>
      </c>
      <c r="F106" s="33" t="e">
        <f>E106</f>
        <v>#DIV/0!</v>
      </c>
      <c r="G106" s="33" t="e">
        <f>F106</f>
        <v>#DIV/0!</v>
      </c>
      <c r="H106" s="159" t="e">
        <f>G106</f>
        <v>#DIV/0!</v>
      </c>
      <c r="I106" s="159" t="e">
        <f>H106</f>
        <v>#DIV/0!</v>
      </c>
      <c r="J106" s="95" t="s">
        <v>26</v>
      </c>
      <c r="K106" s="95"/>
      <c r="L106" s="8"/>
      <c r="M106" s="8"/>
      <c r="N106" s="8"/>
      <c r="O106" s="94"/>
    </row>
    <row r="107" spans="2:15" ht="26" x14ac:dyDescent="0.3">
      <c r="B107" s="92"/>
      <c r="C107" s="105" t="s">
        <v>286</v>
      </c>
      <c r="D107" s="33" t="e">
        <f>'Tank#4'!E75</f>
        <v>#DIV/0!</v>
      </c>
      <c r="E107" s="33" t="e">
        <f>D107</f>
        <v>#DIV/0!</v>
      </c>
      <c r="F107" s="33" t="e">
        <f>D107</f>
        <v>#DIV/0!</v>
      </c>
      <c r="G107" s="33" t="e">
        <f>D107</f>
        <v>#DIV/0!</v>
      </c>
      <c r="H107" s="159" t="e">
        <f>D107</f>
        <v>#DIV/0!</v>
      </c>
      <c r="I107" s="159" t="e">
        <f>D107</f>
        <v>#DIV/0!</v>
      </c>
      <c r="J107" s="95" t="s">
        <v>26</v>
      </c>
      <c r="K107" s="95"/>
      <c r="L107" s="8"/>
      <c r="M107" s="8"/>
      <c r="N107" s="8"/>
      <c r="O107" s="94"/>
    </row>
    <row r="108" spans="2:15" ht="13" x14ac:dyDescent="0.3">
      <c r="B108" s="92"/>
      <c r="C108" s="123" t="s">
        <v>36</v>
      </c>
      <c r="D108" s="11" t="e">
        <f>'Tank#4'!E72</f>
        <v>#DIV/0!</v>
      </c>
      <c r="E108" s="11" t="e">
        <f>ROUND(IF(OR($D$7="c",$D$7="h"),(E99-E100)*PI()*((E96/2)^2)*7.480519/(E106*24*60),IF($D$7="r",(E99-E100)*E96*E97*7.480519/(E106*24*60),IF($D$8="y",((E99*$D$6*10^6)-(E100*$D$6*10^6))/(E106*24*60),""))),2)</f>
        <v>#VALUE!</v>
      </c>
      <c r="F108" s="11" t="e">
        <f>ROUND(IF(OR($D$7="c",$D$7="h"),(F99-F100)*PI()*((F96/2)^2)*7.480519/(F106*24*60),IF($D$7="r",(F99-F100)*F96*F97*7.480519/(F106*24*60),IF($D$8="y",((F99*$D$6*10^6)-(F100*$D$6*10^6))/(F106*24*60),""))),2)</f>
        <v>#VALUE!</v>
      </c>
      <c r="G108" s="11" t="e">
        <f>ROUND(IF(OR($D$7="c",$D$7="h"),(G99-G100)*PI()*((G96/2)^2)*7.480519/(G106*24*60),IF($D$7="r",(G99-G100)*G96*G97*7.480519/(G106*24*60),IF($D$8="y",((G99*$D$6*10^6)-(G100*$D$6*10^6))/(G106*24*60),""))),2)</f>
        <v>#VALUE!</v>
      </c>
      <c r="H108" s="11" t="e">
        <f>ROUND(IF(OR($D$7="c",$D$7="h"),(H99-H100)*PI()*((H96/2)^2)*7.480519/(H106*24*60),IF($D$7="r",(H99-H100)*H96*H97*7.480519/(H106*24*60),IF($D$8="y",((H99*$D$6*10^6)-(H100*$D$6*10^6))/(H106*24*60),""))),2)</f>
        <v>#VALUE!</v>
      </c>
      <c r="I108" s="11" t="e">
        <f>ROUND(IF(OR($D$7="c",$D$7="h"),(I99-I100)*PI()*((I96/2)^2)*7.480519/(I106*24*60),IF($D$7="r",(I99-I100)*I96*I97*7.480519/(I106*24*60),IF($D$8="y",((I99*$D$6*10^6)-(I100*$D$6*10^6))/(I106*24*60),""))),2)</f>
        <v>#VALUE!</v>
      </c>
      <c r="J108" s="95" t="s">
        <v>2</v>
      </c>
      <c r="K108" s="95"/>
      <c r="L108" s="8"/>
      <c r="M108" s="8"/>
      <c r="N108" s="8"/>
      <c r="O108" s="94"/>
    </row>
    <row r="109" spans="2:15" ht="13" x14ac:dyDescent="0.3">
      <c r="B109" s="92"/>
      <c r="C109" s="105" t="s">
        <v>37</v>
      </c>
      <c r="D109" s="11" t="e">
        <f>'Tank#4'!E73</f>
        <v>#DIV/0!</v>
      </c>
      <c r="E109" s="11" t="e">
        <f>ROUND(IF(OR($D$7="c",$D$7="h"),(E99-E100)*PI()*((E96/2)^2)*7.480519/(E107*24*60),IF($D$7="r",(E99-E100)*E96*E97*7.480519/(E107*24*60),IF($D$8="y",((E99*$D$6*10^6)-(E100*$D$6*10^6))/(E107*24*60),""))),2)</f>
        <v>#VALUE!</v>
      </c>
      <c r="F109" s="11" t="e">
        <f>ROUND(IF(OR($D$7="c",$D$7="h"),(F99-F100)*PI()*((F96/2)^2)*7.480519/(F107*24*60),IF($D$7="r",(F99-F100)*F96*F97*7.480519/(F107*24*60),IF($D$8="y",((F99*$D$6*10^6)-(F100*$D$6*10^6))/(F107*24*60),""))),2)</f>
        <v>#VALUE!</v>
      </c>
      <c r="G109" s="11" t="e">
        <f>ROUND(IF(OR($D$7="c",$D$7="h"),(G99-G100)*PI()*((G96/2)^2)*7.480519/(G107*24*60),IF($D$7="r",(G99-G100)*G96*G97*7.480519/(G107*24*60),IF($D$8="y",((G99*$D$6*10^6)-(G100*$D$6*10^6))/(G107*24*60),""))),2)</f>
        <v>#VALUE!</v>
      </c>
      <c r="H109" s="11" t="e">
        <f>ROUND(IF(OR($D$7="c",$D$7="h"),(H99-H100)*PI()*((H96/2)^2)*7.480519/(H107*24*60),IF($D$7="r",(H99-H100)*H96*H97*7.480519/(H107*24*60),IF($D$8="y",((H99*$D$6*10^6)-(H100*$D$6*10^6))/(H107*24*60),""))),2)</f>
        <v>#VALUE!</v>
      </c>
      <c r="I109" s="11" t="e">
        <f>ROUND(IF(OR($D$7="c",$D$7="h"),(I99-I100)*PI()*((I96/2)^2)*7.480519/(I107*24*60),IF($D$7="r",(I99-I100)*I96*I97*7.480519/(I107*24*60),IF($D$8="y",((I99*$D$6*10^6)-(I100*$D$6*10^6))/(I107*24*60),""))),2)</f>
        <v>#VALUE!</v>
      </c>
      <c r="J109" s="95" t="s">
        <v>2</v>
      </c>
      <c r="K109" s="95"/>
      <c r="L109" s="8"/>
      <c r="M109" s="8"/>
      <c r="N109" s="8"/>
      <c r="O109" s="94"/>
    </row>
    <row r="110" spans="2:15" ht="26" x14ac:dyDescent="0.3">
      <c r="B110" s="92"/>
      <c r="C110" s="123" t="s">
        <v>288</v>
      </c>
      <c r="D110" s="11" t="e">
        <f>'Tank#4'!E70</f>
        <v>#DIV/0!</v>
      </c>
      <c r="E110" s="11" t="str">
        <f>IF(OR($D$7="c",$D$7="h"),(E99-E100)*PI()*((E96/2)^2)*7.480519/10^6,IF($D$7="r",(E99-E100)*E96*E97*7.480519/10^6,IF($D$8="y",((E99*$D$6*10^6)-(E100*$D$6*10^6))/10^6,"")))</f>
        <v/>
      </c>
      <c r="F110" s="11" t="str">
        <f>IF(OR($D$7="c",$D$7="h"),(F99-F100)*PI()*((F96/2)^2)*7.480519/10^6,IF($D$7="r",(F99-F100)*F96*F97*7.480519/10^6,IF($D$8="y",((F99*$D$6*10^6)-(F100*$D$6*10^6))/10^6,"")))</f>
        <v/>
      </c>
      <c r="G110" s="11" t="str">
        <f>IF(OR($D$7="c",$D$7="h"),(G99-G100)*PI()*((G96/2)^2)*7.480519/10^6,IF($D$7="r",(G99-G100)*G96*G97*7.480519/10^6,IF($D$8="y",((G99*$D$6*10^6)-(G100*$D$6*10^6))/10^6,"")))</f>
        <v/>
      </c>
      <c r="H110" s="11" t="str">
        <f>IF(OR($D$7="c",$D$7="h"),(H99-H100)*PI()*((H96/2)^2)*7.480519/10^6,IF($D$7="r",(H99-H100)*H96*H97*7.480519/10^6,IF($D$8="y",((H99*$D$6*10^6)-(H100*$D$6*10^6))/10^6,"")))</f>
        <v/>
      </c>
      <c r="I110" s="11" t="str">
        <f>IF(OR($D$7="c",$D$7="h"),(I99-I100)*PI()*((I96/2)^2)*7.480519/10^6,IF($D$7="r",(I99-I100)*I96*I97*7.480519/10^6,IF($D$8="y",((I99*$D$6*10^6)-(I100*$D$6*10^6))/10^6,"")))</f>
        <v/>
      </c>
      <c r="J110" s="95" t="s">
        <v>5</v>
      </c>
      <c r="K110" s="95"/>
      <c r="L110" s="8"/>
      <c r="M110" s="8"/>
      <c r="N110" s="8"/>
      <c r="O110" s="94"/>
    </row>
    <row r="111" spans="2:15" ht="13" x14ac:dyDescent="0.3">
      <c r="B111" s="92"/>
      <c r="C111" s="105" t="s">
        <v>52</v>
      </c>
      <c r="D111" s="11" t="e">
        <f>'Tank#4'!E76</f>
        <v>#DIV/0!</v>
      </c>
      <c r="E111" s="11" t="e">
        <f>E109+E108</f>
        <v>#VALUE!</v>
      </c>
      <c r="F111" s="11" t="e">
        <f>F109+F108</f>
        <v>#VALUE!</v>
      </c>
      <c r="G111" s="11" t="e">
        <f>G109+G108</f>
        <v>#VALUE!</v>
      </c>
      <c r="H111" s="11" t="e">
        <f>H109+H108</f>
        <v>#VALUE!</v>
      </c>
      <c r="I111" s="11" t="e">
        <f>I109+I108</f>
        <v>#VALUE!</v>
      </c>
      <c r="J111" s="95" t="s">
        <v>2</v>
      </c>
      <c r="K111" s="95"/>
      <c r="L111" s="8"/>
      <c r="M111" s="8"/>
      <c r="N111" s="8"/>
      <c r="O111" s="94"/>
    </row>
    <row r="112" spans="2:15" ht="13" x14ac:dyDescent="0.3">
      <c r="B112" s="92"/>
      <c r="C112" s="123" t="s">
        <v>289</v>
      </c>
      <c r="D112" s="11" t="e">
        <f>'Tank#4'!$E$77</f>
        <v>#DIV/0!</v>
      </c>
      <c r="E112" s="32" t="e">
        <f>E110/E111</f>
        <v>#VALUE!</v>
      </c>
      <c r="F112" s="32" t="e">
        <f>F110/F111</f>
        <v>#VALUE!</v>
      </c>
      <c r="G112" s="32" t="e">
        <f>G110/G111</f>
        <v>#VALUE!</v>
      </c>
      <c r="H112" s="32" t="e">
        <f>H110/H111</f>
        <v>#VALUE!</v>
      </c>
      <c r="I112" s="32" t="e">
        <f>I110/I111</f>
        <v>#VALUE!</v>
      </c>
      <c r="J112" s="95" t="s">
        <v>3</v>
      </c>
      <c r="K112" s="95"/>
      <c r="L112" s="8"/>
      <c r="M112" s="8"/>
      <c r="N112" s="8"/>
      <c r="O112" s="94"/>
    </row>
    <row r="113" spans="2:15" ht="13" x14ac:dyDescent="0.3">
      <c r="B113" s="92"/>
      <c r="C113" s="105" t="s">
        <v>44</v>
      </c>
      <c r="D113" s="11" t="e">
        <f>'Tank#4'!$E$78</f>
        <v>#DIV/0!</v>
      </c>
      <c r="E113" s="32" t="str">
        <f>IF(OR($D$7="c",$D$7="h"),((E99+E100)/2)*PI()*((E96/2)^2)*7.480519/10^6,IF($D$7="r",((E99+E100)/2)*E96*E97*7.480519/10^6,IF($D$8="y",(((E99*$D$6*10^6)+(E100*$D$6*10^6))/2)/10^6,"")))</f>
        <v/>
      </c>
      <c r="F113" s="32" t="str">
        <f>IF(OR($D$7="c",$D$7="h"),((F99+F100)/2)*PI()*((F96/2)^2)*7.480519/10^6,IF($D$7="r",((F99+F100)/2)*F96*F97*7.480519/10^6,IF($D$8="y",(((F99*$D$6*10^6)+(F100*$D$6*10^6))/2)/10^6,"")))</f>
        <v/>
      </c>
      <c r="G113" s="32" t="str">
        <f>IF(OR($D$7="c",$D$7="h"),((G99+G100)/2)*PI()*((G96/2)^2)*7.480519/10^6,IF($D$7="r",((G99+G100)/2)*G96*G97*7.480519/10^6,IF($D$8="y",(((G99*$D$6*10^6)+(G100*$D$6*10^6))/2)/10^6,"")))</f>
        <v/>
      </c>
      <c r="H113" s="32" t="str">
        <f>IF(OR($D$7="c",$D$7="h"),((H99+H100)/2)*PI()*((H96/2)^2)*7.480519/10^6,IF($D$7="r",((H99+H100)/2)*H96*H97*7.480519/10^6,IF($D$8="y",(((H99*$D$6*10^6)+(H100*$D$6*10^6))/2)/10^6,"")))</f>
        <v/>
      </c>
      <c r="I113" s="32" t="str">
        <f>IF(OR($D$7="c",$D$7="h"),((I99+I100)/2)*PI()*((I96/2)^2)*7.480519/10^6,IF($D$7="r",((I99+I100)/2)*I96*I97*7.480519/10^6,IF($D$8="y",(((I99*$D$6*10^6)+(I100*$D$6*10^6))/2)/10^6,"")))</f>
        <v/>
      </c>
      <c r="J113" s="95" t="s">
        <v>5</v>
      </c>
      <c r="K113" s="95"/>
      <c r="L113" s="8"/>
      <c r="M113" s="8"/>
      <c r="N113" s="8"/>
      <c r="O113" s="94"/>
    </row>
    <row r="114" spans="2:15" ht="26" x14ac:dyDescent="0.3">
      <c r="B114" s="92"/>
      <c r="C114" s="137" t="s">
        <v>57</v>
      </c>
      <c r="D114" s="138" t="e">
        <f>'Tank#4'!J75</f>
        <v>#DIV/0!</v>
      </c>
      <c r="E114" s="139" t="e">
        <f>E102/E104</f>
        <v>#VALUE!</v>
      </c>
      <c r="F114" s="139" t="e">
        <f>F102/F104</f>
        <v>#VALUE!</v>
      </c>
      <c r="G114" s="139" t="e">
        <f>G102/G104</f>
        <v>#VALUE!</v>
      </c>
      <c r="H114" s="139" t="e">
        <f>H102/H104</f>
        <v>#VALUE!</v>
      </c>
      <c r="I114" s="139" t="e">
        <f>I102/I104</f>
        <v>#VALUE!</v>
      </c>
      <c r="J114" s="95"/>
      <c r="K114" s="95"/>
      <c r="L114" s="8"/>
      <c r="M114" s="8"/>
      <c r="N114" s="8"/>
      <c r="O114" s="94"/>
    </row>
    <row r="115" spans="2:15" ht="13" x14ac:dyDescent="0.3">
      <c r="B115" s="92"/>
      <c r="C115" s="137" t="s">
        <v>8</v>
      </c>
      <c r="D115" s="140" t="e">
        <f>'Tank#4'!$E$79</f>
        <v>#DIV/0!</v>
      </c>
      <c r="E115" s="140" t="e">
        <f>E113/E112</f>
        <v>#VALUE!</v>
      </c>
      <c r="F115" s="140" t="e">
        <f>F113/F112</f>
        <v>#VALUE!</v>
      </c>
      <c r="G115" s="140" t="e">
        <f>G113/G112</f>
        <v>#VALUE!</v>
      </c>
      <c r="H115" s="140" t="e">
        <f>H113/H112</f>
        <v>#VALUE!</v>
      </c>
      <c r="I115" s="140" t="e">
        <f>I113/I112</f>
        <v>#VALUE!</v>
      </c>
      <c r="J115" s="95" t="s">
        <v>2</v>
      </c>
      <c r="K115" s="95"/>
      <c r="L115" s="8"/>
      <c r="M115" s="8"/>
      <c r="N115" s="8"/>
      <c r="O115" s="94"/>
    </row>
    <row r="116" spans="2:15" ht="13.5" thickBot="1" x14ac:dyDescent="0.35">
      <c r="B116" s="101"/>
      <c r="C116" s="102"/>
      <c r="D116" s="102"/>
      <c r="E116" s="102"/>
      <c r="F116" s="102"/>
      <c r="G116" s="106"/>
      <c r="H116" s="106"/>
      <c r="I116" s="107"/>
      <c r="J116" s="102"/>
      <c r="K116" s="102"/>
      <c r="L116" s="102"/>
      <c r="M116" s="102"/>
      <c r="N116" s="102"/>
      <c r="O116" s="103"/>
    </row>
    <row r="117" spans="2:15" ht="18.5" hidden="1" thickBot="1" x14ac:dyDescent="0.45">
      <c r="B117" s="116" t="s">
        <v>191</v>
      </c>
      <c r="C117" s="111"/>
      <c r="D117" s="120"/>
      <c r="E117" s="111"/>
      <c r="F117" s="111"/>
      <c r="G117" s="111"/>
      <c r="H117" s="111"/>
      <c r="I117" s="111"/>
      <c r="J117" s="111"/>
      <c r="K117" s="111"/>
      <c r="L117" s="118"/>
      <c r="M117" s="118"/>
      <c r="N117" s="118"/>
      <c r="O117" s="119"/>
    </row>
    <row r="118" spans="2:15" hidden="1" x14ac:dyDescent="0.25">
      <c r="B118" s="149"/>
      <c r="C118" s="104"/>
      <c r="D118" s="104"/>
      <c r="E118" s="104"/>
      <c r="F118" s="104"/>
      <c r="G118" s="104"/>
      <c r="H118" s="104"/>
      <c r="I118" s="104"/>
      <c r="J118" s="104"/>
      <c r="K118" s="104"/>
      <c r="L118" s="90"/>
      <c r="M118" s="90"/>
      <c r="N118" s="90"/>
      <c r="O118" s="91"/>
    </row>
    <row r="119" spans="2:15" ht="13" hidden="1" x14ac:dyDescent="0.3">
      <c r="B119" s="92"/>
      <c r="C119" s="95" t="s">
        <v>86</v>
      </c>
      <c r="D119" s="29"/>
      <c r="E119" s="29"/>
      <c r="F119" s="29"/>
      <c r="G119" s="29"/>
      <c r="H119" s="29"/>
      <c r="I119" s="29"/>
      <c r="J119" s="29"/>
      <c r="K119" s="29"/>
      <c r="L119" s="8"/>
      <c r="M119" s="8"/>
      <c r="N119" s="8"/>
      <c r="O119" s="94"/>
    </row>
    <row r="120" spans="2:15" ht="13" hidden="1" x14ac:dyDescent="0.3">
      <c r="B120" s="92"/>
      <c r="C120" s="95" t="s">
        <v>88</v>
      </c>
      <c r="D120" s="29"/>
      <c r="E120" s="29"/>
      <c r="F120" s="29"/>
      <c r="G120" s="29"/>
      <c r="H120" s="29"/>
      <c r="I120" s="29"/>
      <c r="J120" s="29"/>
      <c r="K120" s="29"/>
      <c r="L120" s="8"/>
      <c r="M120" s="8"/>
      <c r="N120" s="8"/>
      <c r="O120" s="94"/>
    </row>
    <row r="121" spans="2:15" ht="13" hidden="1" x14ac:dyDescent="0.3">
      <c r="B121" s="92"/>
      <c r="C121" s="95" t="s">
        <v>89</v>
      </c>
      <c r="D121" s="29"/>
      <c r="E121" s="29"/>
      <c r="F121" s="29"/>
      <c r="G121" s="29"/>
      <c r="H121" s="29"/>
      <c r="I121" s="29"/>
      <c r="J121" s="29"/>
      <c r="K121" s="29"/>
      <c r="L121" s="8"/>
      <c r="M121" s="8"/>
      <c r="N121" s="8"/>
      <c r="O121" s="94"/>
    </row>
    <row r="122" spans="2:15" ht="13" hidden="1" x14ac:dyDescent="0.3">
      <c r="B122" s="92"/>
      <c r="C122" s="95" t="s">
        <v>90</v>
      </c>
      <c r="D122" s="29"/>
      <c r="E122" s="29"/>
      <c r="F122" s="29"/>
      <c r="G122" s="29"/>
      <c r="H122" s="29"/>
      <c r="I122" s="29"/>
      <c r="J122" s="29"/>
      <c r="K122" s="29"/>
      <c r="L122" s="8"/>
      <c r="M122" s="8"/>
      <c r="N122" s="8"/>
      <c r="O122" s="94"/>
    </row>
    <row r="123" spans="2:15" ht="13" hidden="1" x14ac:dyDescent="0.3">
      <c r="B123" s="92"/>
      <c r="C123" s="113"/>
      <c r="D123" s="29"/>
      <c r="E123" s="29"/>
      <c r="F123" s="29"/>
      <c r="G123" s="29"/>
      <c r="H123" s="29"/>
      <c r="I123" s="29"/>
      <c r="J123" s="29"/>
      <c r="K123" s="29"/>
      <c r="L123" s="8"/>
      <c r="M123" s="8"/>
      <c r="N123" s="8"/>
      <c r="O123" s="94"/>
    </row>
    <row r="124" spans="2:15" ht="39" hidden="1" x14ac:dyDescent="0.3">
      <c r="B124" s="92"/>
      <c r="C124" s="29"/>
      <c r="D124" s="133" t="s">
        <v>79</v>
      </c>
      <c r="E124" s="81" t="s">
        <v>45</v>
      </c>
      <c r="F124" s="81" t="s">
        <v>46</v>
      </c>
      <c r="G124" s="81" t="s">
        <v>47</v>
      </c>
      <c r="H124" s="81" t="s">
        <v>48</v>
      </c>
      <c r="I124" s="81" t="s">
        <v>49</v>
      </c>
      <c r="J124" s="29"/>
      <c r="K124" s="29"/>
      <c r="L124" s="8"/>
      <c r="M124" s="8"/>
      <c r="N124" s="8"/>
      <c r="O124" s="94"/>
    </row>
    <row r="125" spans="2:15" ht="13" hidden="1" x14ac:dyDescent="0.3">
      <c r="B125" s="92"/>
      <c r="C125" s="123" t="str">
        <f>IF(D49="y","Fraction Full (Max Level)","High/Max Level")</f>
        <v>High/Max Level</v>
      </c>
      <c r="D125" s="132" t="b">
        <f>IF(OR($D$7="c",$D$7="r",D7="h"),(SUM(E53:E67)/COUNTIF(E53:E67,"&gt;0")),IF($D$8="y",(SUM(E53:E67)/COUNTIF(E53:E67,"&gt;0"))/($D$6*10^6)))</f>
        <v>0</v>
      </c>
      <c r="E125" s="135">
        <f t="shared" ref="E125:I126" si="11">E99</f>
        <v>0</v>
      </c>
      <c r="F125" s="135">
        <f t="shared" si="11"/>
        <v>0</v>
      </c>
      <c r="G125" s="135">
        <f t="shared" si="11"/>
        <v>0</v>
      </c>
      <c r="H125" s="135">
        <f t="shared" si="11"/>
        <v>0</v>
      </c>
      <c r="I125" s="135">
        <f t="shared" si="11"/>
        <v>0</v>
      </c>
      <c r="J125" s="95" t="str">
        <f>IF(D49="y","","ft")</f>
        <v>ft</v>
      </c>
      <c r="K125" s="95"/>
      <c r="L125" s="8"/>
      <c r="M125" s="8"/>
      <c r="N125" s="8"/>
      <c r="O125" s="94"/>
    </row>
    <row r="126" spans="2:15" ht="13" hidden="1" x14ac:dyDescent="0.3">
      <c r="B126" s="92"/>
      <c r="C126" s="123" t="str">
        <f>IF(D49="y","Fraction Full (Min Level)","Low/Min Level")</f>
        <v>Low/Min Level</v>
      </c>
      <c r="D126" s="132" t="b">
        <f>IF(OR($D$7="c",$D$7="r",D7="h"),(SUM(D53:D67)/COUNTIF(D53:D67,"&gt;0")),IF($D$8="y",(SUM(D53:D67)/COUNTIF(D53:D67,"&gt;0"))/($D$6*10^6)))</f>
        <v>0</v>
      </c>
      <c r="E126" s="135">
        <f t="shared" si="11"/>
        <v>0</v>
      </c>
      <c r="F126" s="135">
        <f t="shared" si="11"/>
        <v>0</v>
      </c>
      <c r="G126" s="135">
        <f t="shared" si="11"/>
        <v>0</v>
      </c>
      <c r="H126" s="135">
        <f t="shared" si="11"/>
        <v>0</v>
      </c>
      <c r="I126" s="135">
        <f t="shared" si="11"/>
        <v>0</v>
      </c>
      <c r="J126" s="95" t="str">
        <f>IF(D49="y","","ft")</f>
        <v>ft</v>
      </c>
      <c r="K126" s="95"/>
      <c r="L126" s="8"/>
      <c r="M126" s="8"/>
      <c r="N126" s="8"/>
      <c r="O126" s="94"/>
    </row>
    <row r="127" spans="2:15" ht="24.75" hidden="1" customHeight="1" x14ac:dyDescent="0.3">
      <c r="B127" s="92"/>
      <c r="C127" s="137" t="s">
        <v>87</v>
      </c>
      <c r="D127" s="141" t="e">
        <f>D114</f>
        <v>#DIV/0!</v>
      </c>
      <c r="E127" s="141" t="e">
        <f t="shared" ref="E127:I128" si="12">E114</f>
        <v>#VALUE!</v>
      </c>
      <c r="F127" s="141" t="e">
        <f t="shared" si="12"/>
        <v>#VALUE!</v>
      </c>
      <c r="G127" s="141" t="e">
        <f t="shared" si="12"/>
        <v>#VALUE!</v>
      </c>
      <c r="H127" s="141" t="e">
        <f t="shared" si="12"/>
        <v>#VALUE!</v>
      </c>
      <c r="I127" s="141" t="e">
        <f t="shared" si="12"/>
        <v>#VALUE!</v>
      </c>
      <c r="J127" s="95"/>
      <c r="K127" s="95"/>
      <c r="L127" s="8"/>
      <c r="M127" s="8"/>
      <c r="N127" s="8"/>
      <c r="O127" s="94"/>
    </row>
    <row r="128" spans="2:15" ht="13" hidden="1" x14ac:dyDescent="0.3">
      <c r="B128" s="92"/>
      <c r="C128" s="137" t="s">
        <v>8</v>
      </c>
      <c r="D128" s="142" t="e">
        <f>D115</f>
        <v>#DIV/0!</v>
      </c>
      <c r="E128" s="140" t="e">
        <f t="shared" si="12"/>
        <v>#VALUE!</v>
      </c>
      <c r="F128" s="140" t="e">
        <f t="shared" si="12"/>
        <v>#VALUE!</v>
      </c>
      <c r="G128" s="140" t="e">
        <f t="shared" si="12"/>
        <v>#VALUE!</v>
      </c>
      <c r="H128" s="140" t="e">
        <f t="shared" si="12"/>
        <v>#VALUE!</v>
      </c>
      <c r="I128" s="140" t="e">
        <f t="shared" si="12"/>
        <v>#VALUE!</v>
      </c>
      <c r="J128" s="95" t="s">
        <v>2</v>
      </c>
      <c r="K128" s="95"/>
      <c r="L128" s="8"/>
      <c r="M128" s="8"/>
      <c r="N128" s="8"/>
      <c r="O128" s="94"/>
    </row>
    <row r="129" spans="2:15" ht="39" hidden="1" x14ac:dyDescent="0.3">
      <c r="B129" s="92"/>
      <c r="C129" s="161" t="s">
        <v>84</v>
      </c>
      <c r="D129" s="146">
        <v>0.14929999999999999</v>
      </c>
      <c r="E129" s="162">
        <f>D129</f>
        <v>0.14929999999999999</v>
      </c>
      <c r="F129" s="162">
        <f>D129</f>
        <v>0.14929999999999999</v>
      </c>
      <c r="G129" s="162">
        <f>D129</f>
        <v>0.14929999999999999</v>
      </c>
      <c r="H129" s="162">
        <f>D129</f>
        <v>0.14929999999999999</v>
      </c>
      <c r="I129" s="162">
        <f>D129</f>
        <v>0.14929999999999999</v>
      </c>
      <c r="J129" s="95" t="s">
        <v>76</v>
      </c>
      <c r="K129" s="95"/>
      <c r="L129" s="8"/>
      <c r="M129" s="8"/>
      <c r="N129" s="8"/>
      <c r="O129" s="94"/>
    </row>
    <row r="130" spans="2:15" ht="26" hidden="1" x14ac:dyDescent="0.3">
      <c r="B130" s="92"/>
      <c r="C130" s="123" t="s">
        <v>80</v>
      </c>
      <c r="D130" s="124" t="e">
        <f>SUM(F53:F67)/COUNTIF(F53:F67,"&gt;0")</f>
        <v>#DIV/0!</v>
      </c>
      <c r="E130" s="124" t="str">
        <f>IF(OR($D$7="c",$D$7="h"),(E100)*PI()*($D$10/2)^2*7.48/10^6,IF($D$7="r",E100*$D$10*$D$11*7.48/10^6,IF($D$8="y",E100/10^6,"error")))</f>
        <v>error</v>
      </c>
      <c r="F130" s="124" t="str">
        <f>IF(OR($D$7="c",$D$7="h"),(F100)*PI()*($D$10/2)^2*7.48/10^6,IF($D$7="r",F100*$D$10*$D$11*7.48/10^6,IF($D$8="y",F100/10^6,"error")))</f>
        <v>error</v>
      </c>
      <c r="G130" s="124" t="str">
        <f>IF(OR($D$7="c",$D$7="h"),(G100)*PI()*($D$10/2)^2*7.48/10^6,IF($D$7="r",G100*$D$10*$D$11*7.48/10^6,IF($D$8="y",G100/10^6,"error")))</f>
        <v>error</v>
      </c>
      <c r="H130" s="124" t="str">
        <f>IF(OR($D$7="c",$D$7="h"),(H100)*PI()*($D$10/2)^2*7.48/10^6,IF($D$7="r",H100*$D$10*$D$11*7.48/10^6,IF($D$8="y",H100/10^6,"error")))</f>
        <v>error</v>
      </c>
      <c r="I130" s="124" t="str">
        <f>IF(OR($D$7="c",$D$7="h"),(I100)*PI()*($D$10/2)^2*7.48/10^6,IF($D$7="r",I100*$D$10*$D$11*7.48/10^6,IF($D$8="y",I100/10^6,"error")))</f>
        <v>error</v>
      </c>
      <c r="J130" s="95" t="s">
        <v>5</v>
      </c>
      <c r="K130" s="95"/>
      <c r="L130" s="8"/>
      <c r="M130" s="8"/>
      <c r="N130" s="8"/>
      <c r="O130" s="94"/>
    </row>
    <row r="131" spans="2:15" ht="39" hidden="1" x14ac:dyDescent="0.3">
      <c r="B131" s="92"/>
      <c r="C131" s="125" t="s">
        <v>81</v>
      </c>
      <c r="D131" s="124" t="e">
        <f>SUM(F53:F67)/COUNTIF(F53:F67,"&gt;0")+SUM(G53:G67)/COUNTIF(G53:G67,"&gt;0")</f>
        <v>#DIV/0!</v>
      </c>
      <c r="E131" s="11" t="str">
        <f>IF(OR($D$7="c",$D$7="h"),(E99)*PI()*($D$10/2)^2*7.48/10^6,IF($D$7="r",E99*$D$10*$D$11*7.48/10^6,IF($D$8="y",E99/10^6,"error")))</f>
        <v>error</v>
      </c>
      <c r="F131" s="11" t="str">
        <f>IF(OR($D$7="c",$D$7="h"),(F99)*PI()*($D$10/2)^2*7.48/10^6,IF($D$7="r",F99*$D$10*$D$11*7.48/10^6,IF($D$8="y",F99/10^6,"error")))</f>
        <v>error</v>
      </c>
      <c r="G131" s="11" t="str">
        <f>IF(OR($D$7="c",$D$7="h"),(G99)*PI()*($D$10/2)^2*7.48/10^6,IF($D$7="r",G99*$D$10*$D$11*7.48/10^6,IF($D$8="y",G99/10^6,"error")))</f>
        <v>error</v>
      </c>
      <c r="H131" s="11" t="str">
        <f>IF(OR($D$7="c",$D$7="h"),(H99)*PI()*($D$10/2)^2*7.48/10^6,IF($D$7="r",H99*$D$10*$D$11*7.48/10^6,IF($D$8="y",H99/10^6,"error")))</f>
        <v>error</v>
      </c>
      <c r="I131" s="11" t="str">
        <f>IF(OR($D$7="c",$D$7="h"),(I99)*PI()*($D$10/2)^2*7.48/10^6,IF($D$7="r",I99*$D$10*$D$11*7.48/10^6,IF($D$8="y",I99/10^6,"error")))</f>
        <v>error</v>
      </c>
      <c r="J131" s="95" t="s">
        <v>5</v>
      </c>
      <c r="K131" s="95"/>
      <c r="L131" s="8"/>
      <c r="M131" s="8"/>
      <c r="N131" s="8"/>
      <c r="O131" s="94"/>
    </row>
    <row r="132" spans="2:15" ht="13" hidden="1" x14ac:dyDescent="0.3">
      <c r="B132" s="92"/>
      <c r="C132" s="123" t="s">
        <v>83</v>
      </c>
      <c r="D132" s="124" t="e">
        <f t="shared" ref="D132:I133" si="13">D108</f>
        <v>#DIV/0!</v>
      </c>
      <c r="E132" s="124" t="e">
        <f t="shared" si="13"/>
        <v>#VALUE!</v>
      </c>
      <c r="F132" s="124" t="e">
        <f t="shared" si="13"/>
        <v>#VALUE!</v>
      </c>
      <c r="G132" s="124" t="e">
        <f t="shared" si="13"/>
        <v>#VALUE!</v>
      </c>
      <c r="H132" s="124" t="e">
        <f t="shared" si="13"/>
        <v>#VALUE!</v>
      </c>
      <c r="I132" s="124" t="e">
        <f t="shared" si="13"/>
        <v>#VALUE!</v>
      </c>
      <c r="J132" s="95" t="s">
        <v>2</v>
      </c>
      <c r="K132" s="95"/>
      <c r="L132" s="8"/>
      <c r="M132" s="8"/>
      <c r="N132" s="8"/>
      <c r="O132" s="94"/>
    </row>
    <row r="133" spans="2:15" ht="13" hidden="1" x14ac:dyDescent="0.3">
      <c r="B133" s="92"/>
      <c r="C133" s="123" t="s">
        <v>82</v>
      </c>
      <c r="D133" s="132" t="e">
        <f t="shared" si="13"/>
        <v>#DIV/0!</v>
      </c>
      <c r="E133" s="132" t="e">
        <f t="shared" si="13"/>
        <v>#VALUE!</v>
      </c>
      <c r="F133" s="132" t="e">
        <f t="shared" si="13"/>
        <v>#VALUE!</v>
      </c>
      <c r="G133" s="132" t="e">
        <f t="shared" si="13"/>
        <v>#VALUE!</v>
      </c>
      <c r="H133" s="132" t="e">
        <f t="shared" si="13"/>
        <v>#VALUE!</v>
      </c>
      <c r="I133" s="132" t="e">
        <f t="shared" si="13"/>
        <v>#VALUE!</v>
      </c>
      <c r="J133" s="95" t="s">
        <v>2</v>
      </c>
      <c r="K133" s="95"/>
      <c r="L133" s="8"/>
      <c r="M133" s="8"/>
      <c r="N133" s="8"/>
      <c r="O133" s="94"/>
    </row>
    <row r="134" spans="2:15" ht="39" hidden="1" x14ac:dyDescent="0.3">
      <c r="B134" s="92"/>
      <c r="C134" s="123" t="s">
        <v>91</v>
      </c>
      <c r="D134" s="144" t="e">
        <f t="shared" ref="D134:I134" si="14">(D130/(D131-D130))*(D133+D132)+D133+D132*(1-((D130/(D131-D130))-ROUNDDOWN((D130/(D131-D130)),0)))</f>
        <v>#DIV/0!</v>
      </c>
      <c r="E134" s="144" t="e">
        <f t="shared" si="14"/>
        <v>#VALUE!</v>
      </c>
      <c r="F134" s="144" t="e">
        <f t="shared" si="14"/>
        <v>#VALUE!</v>
      </c>
      <c r="G134" s="144" t="e">
        <f t="shared" si="14"/>
        <v>#VALUE!</v>
      </c>
      <c r="H134" s="144" t="e">
        <f t="shared" si="14"/>
        <v>#VALUE!</v>
      </c>
      <c r="I134" s="144" t="e">
        <f t="shared" si="14"/>
        <v>#VALUE!</v>
      </c>
      <c r="J134" s="95" t="s">
        <v>2</v>
      </c>
      <c r="K134" s="95"/>
      <c r="L134" s="8"/>
      <c r="M134" s="8"/>
      <c r="N134" s="8"/>
      <c r="O134" s="94"/>
    </row>
    <row r="135" spans="2:15" ht="40.5" hidden="1" customHeight="1" x14ac:dyDescent="0.3">
      <c r="B135" s="92"/>
      <c r="C135" s="161" t="s">
        <v>85</v>
      </c>
      <c r="D135" s="146">
        <v>1.57</v>
      </c>
      <c r="E135" s="163">
        <f>D135</f>
        <v>1.57</v>
      </c>
      <c r="F135" s="163">
        <f>D135</f>
        <v>1.57</v>
      </c>
      <c r="G135" s="163">
        <f>D135</f>
        <v>1.57</v>
      </c>
      <c r="H135" s="163">
        <f>D135</f>
        <v>1.57</v>
      </c>
      <c r="I135" s="163">
        <f>D135</f>
        <v>1.57</v>
      </c>
      <c r="J135" s="95" t="s">
        <v>78</v>
      </c>
      <c r="K135" s="95"/>
      <c r="L135" s="8"/>
      <c r="M135" s="8"/>
      <c r="N135" s="8"/>
      <c r="O135" s="94"/>
    </row>
    <row r="136" spans="2:15" ht="41" hidden="1" x14ac:dyDescent="0.3">
      <c r="B136" s="92"/>
      <c r="C136" s="143" t="s">
        <v>109</v>
      </c>
      <c r="D136" s="145" t="e">
        <f t="shared" ref="D136:I136" si="15">((EXP(-D129*D133)-EXP(-D129*(D132+D133)))*D135)/(D129*D132*(1+(D130/(D131-D130))*(1-EXP(-D129*(D132+D133)))))</f>
        <v>#DIV/0!</v>
      </c>
      <c r="E136" s="145" t="e">
        <f t="shared" si="15"/>
        <v>#VALUE!</v>
      </c>
      <c r="F136" s="145" t="e">
        <f t="shared" si="15"/>
        <v>#VALUE!</v>
      </c>
      <c r="G136" s="145" t="e">
        <f t="shared" si="15"/>
        <v>#VALUE!</v>
      </c>
      <c r="H136" s="145" t="e">
        <f t="shared" si="15"/>
        <v>#VALUE!</v>
      </c>
      <c r="I136" s="145" t="e">
        <f t="shared" si="15"/>
        <v>#VALUE!</v>
      </c>
      <c r="J136" s="95" t="s">
        <v>78</v>
      </c>
      <c r="K136" s="95"/>
      <c r="L136" s="8"/>
      <c r="M136" s="8"/>
      <c r="N136" s="8"/>
      <c r="O136" s="94"/>
    </row>
    <row r="137" spans="2:15" ht="41" hidden="1" x14ac:dyDescent="0.3">
      <c r="B137" s="92"/>
      <c r="C137" s="143" t="s">
        <v>108</v>
      </c>
      <c r="D137" s="145" t="e">
        <f t="shared" ref="D137:I137" si="16">D135*EXP(-D129*D134)</f>
        <v>#DIV/0!</v>
      </c>
      <c r="E137" s="145" t="e">
        <f t="shared" si="16"/>
        <v>#VALUE!</v>
      </c>
      <c r="F137" s="145" t="e">
        <f t="shared" si="16"/>
        <v>#VALUE!</v>
      </c>
      <c r="G137" s="145" t="e">
        <f t="shared" si="16"/>
        <v>#VALUE!</v>
      </c>
      <c r="H137" s="145" t="e">
        <f t="shared" si="16"/>
        <v>#VALUE!</v>
      </c>
      <c r="I137" s="145" t="e">
        <f t="shared" si="16"/>
        <v>#VALUE!</v>
      </c>
      <c r="J137" s="95" t="s">
        <v>78</v>
      </c>
      <c r="K137" s="95"/>
      <c r="L137" s="8"/>
      <c r="M137" s="8"/>
      <c r="N137" s="8"/>
      <c r="O137" s="94"/>
    </row>
    <row r="138" spans="2:15" hidden="1" x14ac:dyDescent="0.25">
      <c r="B138" s="92"/>
      <c r="C138" s="8" t="s">
        <v>110</v>
      </c>
      <c r="D138" s="8"/>
      <c r="E138" s="8"/>
      <c r="F138" s="8"/>
      <c r="G138" s="8"/>
      <c r="H138" s="8"/>
      <c r="I138" s="8"/>
      <c r="J138" s="8"/>
      <c r="K138" s="8"/>
      <c r="L138" s="8"/>
      <c r="M138" s="8"/>
      <c r="N138" s="8"/>
      <c r="O138" s="94"/>
    </row>
    <row r="139" spans="2:15" hidden="1" x14ac:dyDescent="0.25">
      <c r="B139" s="92"/>
      <c r="C139" s="424" t="s">
        <v>228</v>
      </c>
      <c r="D139" s="422"/>
      <c r="E139" s="422"/>
      <c r="F139" s="422"/>
      <c r="G139" s="422"/>
      <c r="H139" s="422"/>
      <c r="I139" s="422"/>
      <c r="J139" s="8"/>
      <c r="K139" s="8"/>
      <c r="L139" s="8"/>
      <c r="M139" s="8"/>
      <c r="N139" s="8"/>
      <c r="O139" s="94"/>
    </row>
    <row r="140" spans="2:15" hidden="1" x14ac:dyDescent="0.25">
      <c r="B140" s="92"/>
      <c r="C140" s="424" t="s">
        <v>229</v>
      </c>
      <c r="D140" s="422"/>
      <c r="E140" s="422"/>
      <c r="F140" s="422"/>
      <c r="G140" s="422"/>
      <c r="H140" s="422"/>
      <c r="I140" s="422"/>
      <c r="J140" s="8"/>
      <c r="K140" s="8"/>
      <c r="L140" s="8"/>
      <c r="M140" s="8"/>
      <c r="N140" s="8"/>
      <c r="O140" s="94"/>
    </row>
    <row r="141" spans="2:15" hidden="1" x14ac:dyDescent="0.25">
      <c r="B141" s="92"/>
      <c r="C141" s="424" t="s">
        <v>230</v>
      </c>
      <c r="D141" s="422"/>
      <c r="E141" s="422"/>
      <c r="F141" s="422"/>
      <c r="G141" s="422"/>
      <c r="H141" s="422"/>
      <c r="I141" s="422"/>
      <c r="J141" s="8"/>
      <c r="K141" s="8"/>
      <c r="L141" s="8"/>
      <c r="M141" s="8"/>
      <c r="N141" s="8"/>
      <c r="O141" s="94"/>
    </row>
    <row r="142" spans="2:15" hidden="1" x14ac:dyDescent="0.25">
      <c r="B142" s="92"/>
      <c r="C142" s="422" t="s">
        <v>231</v>
      </c>
      <c r="D142" s="422"/>
      <c r="E142" s="422"/>
      <c r="F142" s="422"/>
      <c r="G142" s="422"/>
      <c r="H142" s="422"/>
      <c r="I142" s="422"/>
      <c r="J142" s="8"/>
      <c r="K142" s="8"/>
      <c r="L142" s="8"/>
      <c r="M142" s="8"/>
      <c r="N142" s="8"/>
      <c r="O142" s="94"/>
    </row>
    <row r="143" spans="2:15" ht="26.25" hidden="1" customHeight="1" thickBot="1" x14ac:dyDescent="0.3">
      <c r="B143" s="101"/>
      <c r="C143" s="423"/>
      <c r="D143" s="423"/>
      <c r="E143" s="423"/>
      <c r="F143" s="423"/>
      <c r="G143" s="423"/>
      <c r="H143" s="423"/>
      <c r="I143" s="423"/>
      <c r="J143" s="102"/>
      <c r="K143" s="102"/>
      <c r="L143" s="102"/>
      <c r="M143" s="102"/>
      <c r="N143" s="102"/>
      <c r="O143" s="103"/>
    </row>
  </sheetData>
  <mergeCells count="4">
    <mergeCell ref="E11:F12"/>
    <mergeCell ref="H74:I74"/>
    <mergeCell ref="I77:L80"/>
    <mergeCell ref="D80:F83"/>
  </mergeCells>
  <conditionalFormatting sqref="D114:I114">
    <cfRule type="cellIs" dxfId="47" priority="7" stopIfTrue="1" operator="greaterThanOrEqual">
      <formula>1</formula>
    </cfRule>
    <cfRule type="cellIs" dxfId="46" priority="8" stopIfTrue="1" operator="lessThan">
      <formula>1</formula>
    </cfRule>
  </conditionalFormatting>
  <conditionalFormatting sqref="D115:I115">
    <cfRule type="cellIs" dxfId="45" priority="5" stopIfTrue="1" operator="greaterThan">
      <formula>5</formula>
    </cfRule>
    <cfRule type="cellIs" dxfId="44" priority="6" stopIfTrue="1" operator="lessThanOrEqual">
      <formula>5</formula>
    </cfRule>
  </conditionalFormatting>
  <conditionalFormatting sqref="E79">
    <cfRule type="cellIs" dxfId="43" priority="3" stopIfTrue="1" operator="lessThanOrEqual">
      <formula>5</formula>
    </cfRule>
    <cfRule type="cellIs" dxfId="42" priority="4" stopIfTrue="1" operator="greaterThan">
      <formula>5</formula>
    </cfRule>
  </conditionalFormatting>
  <conditionalFormatting sqref="J75">
    <cfRule type="cellIs" dxfId="41" priority="1" stopIfTrue="1" operator="greaterThanOrEqual">
      <formula>1</formula>
    </cfRule>
    <cfRule type="cellIs" dxfId="40" priority="2" stopIfTrue="1" operator="lessThan">
      <formula>1</formula>
    </cfRule>
  </conditionalFormatting>
  <pageMargins left="0.75" right="0.75" top="1" bottom="1" header="0.5" footer="0.5"/>
  <pageSetup scale="63" fitToHeight="4" orientation="landscape" r:id="rId1"/>
  <headerFooter alignWithMargins="0"/>
  <rowBreaks count="2" manualBreakCount="2">
    <brk id="48" max="16383" man="1"/>
    <brk id="84"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6C026-B20B-4BC4-A197-C73204B9F962}">
  <dimension ref="A1:T143"/>
  <sheetViews>
    <sheetView showGridLines="0" topLeftCell="A37" zoomScale="80" zoomScaleNormal="80" workbookViewId="0">
      <selection activeCell="I77" sqref="I77:L80"/>
    </sheetView>
  </sheetViews>
  <sheetFormatPr defaultColWidth="9.1796875" defaultRowHeight="12.5" x14ac:dyDescent="0.25"/>
  <cols>
    <col min="1" max="2" width="1.54296875" style="1" customWidth="1"/>
    <col min="3" max="3" width="26" style="1" customWidth="1"/>
    <col min="4" max="4" width="17.81640625" style="1" customWidth="1"/>
    <col min="5" max="6" width="20.81640625" style="1" customWidth="1"/>
    <col min="7" max="7" width="17.81640625" style="1" customWidth="1"/>
    <col min="8" max="9" width="23.81640625" style="1" customWidth="1"/>
    <col min="10" max="10" width="16.453125" style="1" customWidth="1"/>
    <col min="11" max="11" width="12.81640625" style="1" customWidth="1"/>
    <col min="12" max="12" width="16.1796875" style="1" customWidth="1"/>
    <col min="13" max="13" width="9.1796875" style="1"/>
    <col min="14" max="14" width="9.81640625" style="1" customWidth="1"/>
    <col min="15" max="17" width="9.1796875" style="1"/>
    <col min="18" max="18" width="9.1796875" style="485" customWidth="1"/>
    <col min="19" max="16384" width="9.1796875" style="1"/>
  </cols>
  <sheetData>
    <row r="1" spans="2:20" ht="13" thickBot="1" x14ac:dyDescent="0.3"/>
    <row r="2" spans="2:20" ht="20.25" customHeight="1" thickBot="1" x14ac:dyDescent="0.3">
      <c r="B2" s="425" t="s">
        <v>300</v>
      </c>
      <c r="C2" s="426"/>
      <c r="D2" s="426"/>
      <c r="E2" s="426"/>
      <c r="F2" s="426"/>
      <c r="G2" s="426"/>
      <c r="H2" s="426"/>
      <c r="I2" s="426"/>
      <c r="J2" s="426"/>
      <c r="K2" s="426"/>
      <c r="L2" s="426"/>
      <c r="M2" s="426"/>
      <c r="N2" s="426"/>
      <c r="O2" s="427"/>
    </row>
    <row r="3" spans="2:20" ht="18.5" thickBot="1" x14ac:dyDescent="0.45">
      <c r="B3" s="116" t="s">
        <v>187</v>
      </c>
      <c r="C3" s="117"/>
      <c r="D3" s="118"/>
      <c r="E3" s="117"/>
      <c r="F3" s="118"/>
      <c r="G3" s="118"/>
      <c r="H3" s="118"/>
      <c r="I3" s="118"/>
      <c r="J3" s="118"/>
      <c r="K3" s="118"/>
      <c r="L3" s="118"/>
      <c r="M3" s="118"/>
      <c r="N3" s="118"/>
      <c r="O3" s="119"/>
    </row>
    <row r="4" spans="2:20" ht="16" customHeight="1" x14ac:dyDescent="0.3">
      <c r="B4" s="149"/>
      <c r="C4" s="329"/>
      <c r="D4" s="90"/>
      <c r="E4" s="90"/>
      <c r="F4" s="90"/>
      <c r="G4" s="90"/>
      <c r="H4" s="90"/>
      <c r="I4" s="90"/>
      <c r="J4" s="90"/>
      <c r="K4" s="90"/>
      <c r="L4" s="90"/>
      <c r="M4" s="90"/>
      <c r="N4" s="90"/>
      <c r="O4" s="91"/>
    </row>
    <row r="5" spans="2:20" ht="16" customHeight="1" x14ac:dyDescent="0.3">
      <c r="B5" s="92"/>
      <c r="C5" s="152" t="s">
        <v>7</v>
      </c>
      <c r="D5" s="153">
        <f>'Tank Summary'!P12</f>
        <v>0</v>
      </c>
      <c r="E5" s="93"/>
      <c r="F5" s="93"/>
      <c r="G5" s="8"/>
      <c r="H5" s="8"/>
      <c r="I5" s="8"/>
      <c r="J5" s="8"/>
      <c r="K5" s="8"/>
      <c r="L5" s="8"/>
      <c r="M5" s="8"/>
      <c r="N5" s="8"/>
      <c r="O5" s="94"/>
    </row>
    <row r="6" spans="2:20" ht="16" customHeight="1" x14ac:dyDescent="0.3">
      <c r="B6" s="92"/>
      <c r="C6" s="147" t="s">
        <v>96</v>
      </c>
      <c r="D6" s="154">
        <f>'Tank Summary'!P13</f>
        <v>0</v>
      </c>
      <c r="E6" s="93"/>
      <c r="F6" s="93"/>
      <c r="G6" s="8"/>
      <c r="H6" s="8"/>
      <c r="I6" s="8"/>
      <c r="J6" s="8"/>
      <c r="K6" s="8"/>
      <c r="L6" s="8"/>
      <c r="M6" s="8"/>
      <c r="N6" s="8"/>
      <c r="O6" s="94"/>
    </row>
    <row r="7" spans="2:20" ht="40.5" customHeight="1" x14ac:dyDescent="0.3">
      <c r="B7" s="92"/>
      <c r="C7" s="155" t="s">
        <v>64</v>
      </c>
      <c r="D7" s="88">
        <f>'Tank Summary'!P14</f>
        <v>0</v>
      </c>
      <c r="E7" s="150"/>
      <c r="F7" s="93"/>
      <c r="G7" s="151"/>
      <c r="H7" s="8"/>
      <c r="I7" s="8"/>
      <c r="J7" s="8"/>
      <c r="K7" s="8"/>
      <c r="L7" s="8"/>
      <c r="M7" s="8"/>
      <c r="N7" s="8"/>
      <c r="O7" s="94"/>
    </row>
    <row r="8" spans="2:20" ht="39.75" customHeight="1" x14ac:dyDescent="0.3">
      <c r="B8" s="92"/>
      <c r="C8" s="155" t="s">
        <v>66</v>
      </c>
      <c r="D8" s="156">
        <f>'Tank Summary'!P15</f>
        <v>0</v>
      </c>
      <c r="E8" s="150"/>
      <c r="F8" s="93"/>
      <c r="G8" s="151"/>
      <c r="H8" s="8"/>
      <c r="I8" s="8"/>
      <c r="J8" s="8"/>
      <c r="K8" s="8"/>
      <c r="L8" s="8"/>
      <c r="M8" s="8"/>
      <c r="N8" s="8"/>
      <c r="O8" s="94"/>
    </row>
    <row r="9" spans="2:20" ht="18" customHeight="1" x14ac:dyDescent="0.3">
      <c r="B9" s="92"/>
      <c r="C9" s="147" t="s">
        <v>304</v>
      </c>
      <c r="D9" s="157">
        <f>'Tank Summary'!P20</f>
        <v>0</v>
      </c>
      <c r="E9" s="93" t="str">
        <f>IF(OR(D7="c", D7="r",D7="h"),"ft","")</f>
        <v/>
      </c>
      <c r="F9" s="96"/>
      <c r="G9" s="8"/>
      <c r="H9" s="8"/>
      <c r="I9" s="8"/>
      <c r="J9" s="8"/>
      <c r="K9" s="8"/>
      <c r="L9" s="8"/>
      <c r="M9" s="8"/>
      <c r="N9" s="8"/>
      <c r="O9" s="94"/>
    </row>
    <row r="10" spans="2:20" ht="18" customHeight="1" x14ac:dyDescent="0.3">
      <c r="B10" s="92"/>
      <c r="C10" s="158" t="str">
        <f>IF(OR(D7="c", D7="h"), "Tank diameter, D:", IF(D7="r","Longest Sidewall Length, D:","Maximum diameter, D:"))</f>
        <v>Maximum diameter, D:</v>
      </c>
      <c r="D10" s="157">
        <f>'Tank Summary'!P17</f>
        <v>0</v>
      </c>
      <c r="E10" s="93" t="str">
        <f>IF(OR(D7="c", D7="r",D7="h"),"ft","")</f>
        <v/>
      </c>
      <c r="F10" s="93"/>
      <c r="G10" s="151"/>
      <c r="H10" s="8"/>
      <c r="I10" s="8"/>
      <c r="J10" s="8"/>
      <c r="K10" s="8"/>
      <c r="L10" s="8"/>
      <c r="M10" s="8"/>
      <c r="N10" s="8"/>
      <c r="O10" s="94"/>
    </row>
    <row r="11" spans="2:20" ht="18" customHeight="1" x14ac:dyDescent="0.3">
      <c r="B11" s="92"/>
      <c r="C11" s="158" t="str">
        <f>IF(OR(D7="c", D7="h"),"",IF(D7="r","Shortest Sidewall Length, L:",""))</f>
        <v/>
      </c>
      <c r="D11" s="157">
        <f>'Tank Summary'!P18</f>
        <v>0</v>
      </c>
      <c r="E11" s="501" t="str">
        <f>IF(OR(D7="c", D7="h"),"",IF(D7="r","ft",IF(D8="y","","Spreadsheet is not set up for shapes other than cylindrical, hydropillar, &amp; rectangular unless SCADA reports tank volume!")))</f>
        <v>Spreadsheet is not set up for shapes other than cylindrical, hydropillar, &amp; rectangular unless SCADA reports tank volume!</v>
      </c>
      <c r="F11" s="502"/>
      <c r="G11" s="151"/>
      <c r="H11" s="8"/>
      <c r="I11" s="8"/>
      <c r="J11" s="8"/>
      <c r="K11" s="8"/>
      <c r="L11" s="8"/>
      <c r="M11" s="8"/>
      <c r="N11" s="8"/>
      <c r="O11" s="94"/>
    </row>
    <row r="12" spans="2:20" ht="18" customHeight="1" x14ac:dyDescent="0.3">
      <c r="B12" s="92"/>
      <c r="C12" s="152" t="str">
        <f>IF(D8="y", "Volume Cutoff Ratio:", "H/D Ratio:")</f>
        <v>H/D Ratio:</v>
      </c>
      <c r="D12" s="88" t="e">
        <f>IF(D8="y", (PI()/4)*D10^3, 'Tank Summary'!P22)</f>
        <v>#DIV/0!</v>
      </c>
      <c r="E12" s="501"/>
      <c r="F12" s="502"/>
      <c r="G12" s="151"/>
      <c r="H12" s="8"/>
      <c r="I12" s="8"/>
      <c r="J12" s="8"/>
      <c r="K12" s="8"/>
      <c r="L12" s="8"/>
      <c r="M12" s="8"/>
      <c r="N12" s="8"/>
      <c r="O12" s="94"/>
    </row>
    <row r="13" spans="2:20" ht="18" customHeight="1" x14ac:dyDescent="0.3">
      <c r="B13" s="92"/>
      <c r="C13" s="152" t="s">
        <v>10</v>
      </c>
      <c r="D13" s="88">
        <f>'Tank Summary'!P19</f>
        <v>0</v>
      </c>
      <c r="E13" s="93" t="s">
        <v>1</v>
      </c>
      <c r="F13" s="93"/>
      <c r="G13" s="8"/>
      <c r="H13" s="8"/>
      <c r="I13" s="8"/>
      <c r="J13" s="8"/>
      <c r="K13" s="8"/>
      <c r="L13" s="8"/>
      <c r="M13" s="8"/>
      <c r="N13" s="8"/>
      <c r="O13" s="94"/>
    </row>
    <row r="14" spans="2:20" ht="16" customHeight="1" x14ac:dyDescent="0.25">
      <c r="B14" s="92"/>
      <c r="C14" s="29"/>
      <c r="D14" s="29"/>
      <c r="E14" s="29"/>
      <c r="F14" s="29"/>
      <c r="G14" s="29"/>
      <c r="H14" s="29"/>
      <c r="I14" s="29"/>
      <c r="J14" s="8"/>
      <c r="K14" s="8"/>
      <c r="L14" s="8"/>
      <c r="M14" s="8"/>
      <c r="N14" s="8"/>
      <c r="O14" s="94"/>
      <c r="Q14" s="481"/>
      <c r="R14" s="481"/>
      <c r="S14" s="481"/>
      <c r="T14" s="481"/>
    </row>
    <row r="15" spans="2:20" ht="16" customHeight="1" x14ac:dyDescent="0.3">
      <c r="B15" s="92"/>
      <c r="C15" s="95" t="s">
        <v>206</v>
      </c>
      <c r="D15" s="53"/>
      <c r="E15" s="53"/>
      <c r="F15" s="53"/>
      <c r="G15" s="96"/>
      <c r="H15" s="338"/>
      <c r="I15" s="53"/>
      <c r="J15" s="8"/>
      <c r="K15" s="8"/>
      <c r="L15" s="97"/>
      <c r="M15" s="8"/>
      <c r="N15" s="8"/>
      <c r="O15" s="94"/>
      <c r="Q15" s="481"/>
      <c r="R15" s="481"/>
      <c r="S15" s="481"/>
      <c r="T15" s="481"/>
    </row>
    <row r="16" spans="2:20" ht="13" x14ac:dyDescent="0.3">
      <c r="B16" s="92"/>
      <c r="C16" s="13" t="s">
        <v>19</v>
      </c>
      <c r="D16" s="13" t="s">
        <v>20</v>
      </c>
      <c r="E16" s="13" t="str">
        <f>IF(D8="y","Vol at Start of Fill","Min Level")</f>
        <v>Min Level</v>
      </c>
      <c r="F16" s="13" t="str">
        <f>IF(D8="y","Vol at End of Fill","Max Level")</f>
        <v>Max Level</v>
      </c>
      <c r="G16" s="13" t="s">
        <v>21</v>
      </c>
      <c r="H16" s="13" t="s">
        <v>22</v>
      </c>
      <c r="I16" s="8"/>
      <c r="K16" s="8"/>
      <c r="L16" s="8"/>
      <c r="M16" s="8"/>
      <c r="N16" s="8"/>
      <c r="O16" s="94"/>
      <c r="Q16" s="481"/>
      <c r="R16" s="482" t="s">
        <v>285</v>
      </c>
      <c r="S16" s="481"/>
      <c r="T16" s="481"/>
    </row>
    <row r="17" spans="2:20" ht="13" x14ac:dyDescent="0.3">
      <c r="B17" s="92"/>
      <c r="C17" s="14"/>
      <c r="D17" s="14"/>
      <c r="E17" s="14" t="str">
        <f>IF(D8="y","Gal","Ft")</f>
        <v>Ft</v>
      </c>
      <c r="F17" s="14" t="str">
        <f>IF(D8="y","Gal","Ft")</f>
        <v>Ft</v>
      </c>
      <c r="G17" s="14"/>
      <c r="H17" s="14" t="s">
        <v>23</v>
      </c>
      <c r="I17" s="8"/>
      <c r="K17" s="8"/>
      <c r="L17" s="8"/>
      <c r="M17" s="8"/>
      <c r="N17" s="8"/>
      <c r="O17" s="94"/>
      <c r="Q17" s="481"/>
      <c r="R17" s="482" t="str">
        <f>IF(D8="y","Gal","Ft")</f>
        <v>Ft</v>
      </c>
      <c r="S17" s="481"/>
      <c r="T17" s="481"/>
    </row>
    <row r="18" spans="2:20" ht="13" x14ac:dyDescent="0.3">
      <c r="B18" s="92"/>
      <c r="C18" s="339"/>
      <c r="D18" s="340"/>
      <c r="E18" s="341"/>
      <c r="F18" s="341"/>
      <c r="G18" s="89">
        <f t="shared" ref="G18:G47" si="0">C18+D18</f>
        <v>0</v>
      </c>
      <c r="H18" s="12">
        <v>0</v>
      </c>
      <c r="I18" s="8">
        <v>1</v>
      </c>
      <c r="K18" s="8"/>
      <c r="L18" s="8"/>
      <c r="M18" s="8"/>
      <c r="N18" s="8"/>
      <c r="O18" s="94"/>
      <c r="Q18" s="481"/>
      <c r="R18" s="483" t="str">
        <f t="shared" ref="R18:R47" si="1">IF(G18,E18+F18,"")</f>
        <v/>
      </c>
      <c r="S18" s="481"/>
      <c r="T18" s="481"/>
    </row>
    <row r="19" spans="2:20" ht="13" x14ac:dyDescent="0.3">
      <c r="B19" s="92"/>
      <c r="C19" s="339"/>
      <c r="D19" s="340"/>
      <c r="E19" s="341"/>
      <c r="F19" s="341"/>
      <c r="G19" s="89">
        <f t="shared" si="0"/>
        <v>0</v>
      </c>
      <c r="H19" s="12" t="str">
        <f t="shared" ref="H19:H47" si="2">IF(G19,G19-$G$18,"")</f>
        <v/>
      </c>
      <c r="I19" s="8"/>
      <c r="K19" s="8"/>
      <c r="L19" s="8"/>
      <c r="M19" s="8"/>
      <c r="N19" s="8"/>
      <c r="O19" s="94"/>
      <c r="Q19" s="481"/>
      <c r="R19" s="483" t="str">
        <f t="shared" si="1"/>
        <v/>
      </c>
      <c r="S19" s="481"/>
      <c r="T19" s="481"/>
    </row>
    <row r="20" spans="2:20" ht="13" x14ac:dyDescent="0.3">
      <c r="B20" s="92"/>
      <c r="C20" s="347"/>
      <c r="D20" s="348"/>
      <c r="E20" s="349"/>
      <c r="F20" s="349"/>
      <c r="G20" s="350">
        <f t="shared" si="0"/>
        <v>0</v>
      </c>
      <c r="H20" s="351" t="str">
        <f t="shared" si="2"/>
        <v/>
      </c>
      <c r="I20" s="8">
        <v>2</v>
      </c>
      <c r="K20" s="8"/>
      <c r="L20" s="8"/>
      <c r="M20" s="8"/>
      <c r="N20" s="8"/>
      <c r="O20" s="94"/>
      <c r="Q20" s="481"/>
      <c r="R20" s="483" t="str">
        <f t="shared" si="1"/>
        <v/>
      </c>
      <c r="S20" s="481"/>
      <c r="T20" s="481"/>
    </row>
    <row r="21" spans="2:20" ht="13" x14ac:dyDescent="0.3">
      <c r="B21" s="92"/>
      <c r="C21" s="347"/>
      <c r="D21" s="348"/>
      <c r="E21" s="349"/>
      <c r="F21" s="349"/>
      <c r="G21" s="350">
        <f t="shared" si="0"/>
        <v>0</v>
      </c>
      <c r="H21" s="351" t="str">
        <f t="shared" si="2"/>
        <v/>
      </c>
      <c r="I21" s="8"/>
      <c r="K21" s="8"/>
      <c r="L21" s="8"/>
      <c r="M21" s="8"/>
      <c r="N21" s="8"/>
      <c r="O21" s="94"/>
      <c r="Q21" s="481"/>
      <c r="R21" s="483" t="str">
        <f t="shared" si="1"/>
        <v/>
      </c>
      <c r="S21" s="481"/>
      <c r="T21" s="481"/>
    </row>
    <row r="22" spans="2:20" ht="13" x14ac:dyDescent="0.3">
      <c r="B22" s="92"/>
      <c r="C22" s="339"/>
      <c r="D22" s="340"/>
      <c r="E22" s="341"/>
      <c r="F22" s="341"/>
      <c r="G22" s="89">
        <f t="shared" si="0"/>
        <v>0</v>
      </c>
      <c r="H22" s="12" t="str">
        <f t="shared" si="2"/>
        <v/>
      </c>
      <c r="I22" s="8">
        <v>3</v>
      </c>
      <c r="K22" s="8"/>
      <c r="L22" s="8"/>
      <c r="M22" s="8"/>
      <c r="N22" s="8"/>
      <c r="O22" s="94"/>
      <c r="Q22" s="481"/>
      <c r="R22" s="483" t="str">
        <f t="shared" si="1"/>
        <v/>
      </c>
      <c r="S22" s="481"/>
      <c r="T22" s="481"/>
    </row>
    <row r="23" spans="2:20" ht="13" x14ac:dyDescent="0.3">
      <c r="B23" s="92"/>
      <c r="C23" s="339"/>
      <c r="D23" s="340"/>
      <c r="E23" s="341"/>
      <c r="F23" s="341"/>
      <c r="G23" s="89">
        <f t="shared" si="0"/>
        <v>0</v>
      </c>
      <c r="H23" s="12" t="str">
        <f t="shared" si="2"/>
        <v/>
      </c>
      <c r="I23" s="8"/>
      <c r="K23" s="8"/>
      <c r="L23" s="8"/>
      <c r="M23" s="8"/>
      <c r="N23" s="8"/>
      <c r="O23" s="94"/>
      <c r="Q23" s="481"/>
      <c r="R23" s="483" t="str">
        <f t="shared" si="1"/>
        <v/>
      </c>
      <c r="S23" s="481"/>
      <c r="T23" s="481"/>
    </row>
    <row r="24" spans="2:20" ht="13" x14ac:dyDescent="0.3">
      <c r="B24" s="92"/>
      <c r="C24" s="347"/>
      <c r="D24" s="348"/>
      <c r="E24" s="349"/>
      <c r="F24" s="349"/>
      <c r="G24" s="350">
        <f t="shared" si="0"/>
        <v>0</v>
      </c>
      <c r="H24" s="351" t="str">
        <f t="shared" si="2"/>
        <v/>
      </c>
      <c r="I24" s="8">
        <v>4</v>
      </c>
      <c r="K24" s="8"/>
      <c r="L24" s="8"/>
      <c r="M24" s="8"/>
      <c r="N24" s="8"/>
      <c r="O24" s="94"/>
      <c r="Q24" s="481"/>
      <c r="R24" s="483" t="str">
        <f t="shared" si="1"/>
        <v/>
      </c>
      <c r="S24" s="481"/>
      <c r="T24" s="481"/>
    </row>
    <row r="25" spans="2:20" ht="13" x14ac:dyDescent="0.3">
      <c r="B25" s="92"/>
      <c r="C25" s="347"/>
      <c r="D25" s="348"/>
      <c r="E25" s="349"/>
      <c r="F25" s="349"/>
      <c r="G25" s="350">
        <f t="shared" si="0"/>
        <v>0</v>
      </c>
      <c r="H25" s="351" t="str">
        <f t="shared" si="2"/>
        <v/>
      </c>
      <c r="I25" s="8"/>
      <c r="K25" s="8"/>
      <c r="L25" s="8"/>
      <c r="M25" s="8"/>
      <c r="N25" s="8"/>
      <c r="O25" s="94"/>
      <c r="Q25" s="481"/>
      <c r="R25" s="483" t="str">
        <f t="shared" si="1"/>
        <v/>
      </c>
      <c r="S25" s="481"/>
      <c r="T25" s="481"/>
    </row>
    <row r="26" spans="2:20" ht="13" x14ac:dyDescent="0.3">
      <c r="B26" s="92"/>
      <c r="C26" s="342"/>
      <c r="D26" s="340"/>
      <c r="E26" s="341"/>
      <c r="F26" s="341"/>
      <c r="G26" s="89">
        <f t="shared" si="0"/>
        <v>0</v>
      </c>
      <c r="H26" s="12" t="str">
        <f t="shared" si="2"/>
        <v/>
      </c>
      <c r="I26" s="8">
        <v>5</v>
      </c>
      <c r="K26" s="8"/>
      <c r="L26" s="8"/>
      <c r="M26" s="8"/>
      <c r="N26" s="8"/>
      <c r="O26" s="94"/>
      <c r="Q26" s="481"/>
      <c r="R26" s="483" t="str">
        <f t="shared" si="1"/>
        <v/>
      </c>
      <c r="S26" s="481"/>
      <c r="T26" s="481"/>
    </row>
    <row r="27" spans="2:20" ht="13" x14ac:dyDescent="0.3">
      <c r="B27" s="92"/>
      <c r="C27" s="342"/>
      <c r="D27" s="340"/>
      <c r="E27" s="341"/>
      <c r="F27" s="341"/>
      <c r="G27" s="89">
        <f t="shared" si="0"/>
        <v>0</v>
      </c>
      <c r="H27" s="12" t="str">
        <f t="shared" si="2"/>
        <v/>
      </c>
      <c r="I27" s="8"/>
      <c r="K27" s="8"/>
      <c r="L27" s="8"/>
      <c r="M27" s="8"/>
      <c r="N27" s="8"/>
      <c r="O27" s="94"/>
      <c r="Q27" s="481"/>
      <c r="R27" s="483" t="str">
        <f t="shared" si="1"/>
        <v/>
      </c>
      <c r="S27" s="481"/>
      <c r="T27" s="481"/>
    </row>
    <row r="28" spans="2:20" ht="13" x14ac:dyDescent="0.3">
      <c r="B28" s="92"/>
      <c r="C28" s="347"/>
      <c r="D28" s="348"/>
      <c r="E28" s="349"/>
      <c r="F28" s="349"/>
      <c r="G28" s="350">
        <f t="shared" si="0"/>
        <v>0</v>
      </c>
      <c r="H28" s="351" t="str">
        <f t="shared" si="2"/>
        <v/>
      </c>
      <c r="I28" s="8">
        <v>6</v>
      </c>
      <c r="K28" s="8"/>
      <c r="L28" s="8"/>
      <c r="M28" s="8"/>
      <c r="N28" s="8"/>
      <c r="O28" s="94"/>
      <c r="Q28" s="481"/>
      <c r="R28" s="483" t="str">
        <f t="shared" si="1"/>
        <v/>
      </c>
      <c r="S28" s="481"/>
      <c r="T28" s="481"/>
    </row>
    <row r="29" spans="2:20" ht="13" x14ac:dyDescent="0.3">
      <c r="B29" s="92"/>
      <c r="C29" s="347"/>
      <c r="D29" s="348"/>
      <c r="E29" s="349"/>
      <c r="F29" s="349"/>
      <c r="G29" s="350">
        <f t="shared" si="0"/>
        <v>0</v>
      </c>
      <c r="H29" s="351" t="str">
        <f t="shared" si="2"/>
        <v/>
      </c>
      <c r="I29" s="8"/>
      <c r="K29" s="8"/>
      <c r="L29" s="8"/>
      <c r="M29" s="8"/>
      <c r="N29" s="8"/>
      <c r="O29" s="94"/>
      <c r="Q29" s="481"/>
      <c r="R29" s="483" t="str">
        <f t="shared" si="1"/>
        <v/>
      </c>
      <c r="S29" s="481"/>
      <c r="T29" s="481"/>
    </row>
    <row r="30" spans="2:20" ht="13" x14ac:dyDescent="0.3">
      <c r="B30" s="92"/>
      <c r="C30" s="342"/>
      <c r="D30" s="340"/>
      <c r="E30" s="341"/>
      <c r="F30" s="343"/>
      <c r="G30" s="89">
        <f t="shared" si="0"/>
        <v>0</v>
      </c>
      <c r="H30" s="12" t="str">
        <f t="shared" si="2"/>
        <v/>
      </c>
      <c r="I30" s="8">
        <v>7</v>
      </c>
      <c r="K30" s="8"/>
      <c r="L30" s="8"/>
      <c r="M30" s="8"/>
      <c r="N30" s="8"/>
      <c r="O30" s="94"/>
      <c r="Q30" s="481"/>
      <c r="R30" s="483" t="str">
        <f t="shared" si="1"/>
        <v/>
      </c>
      <c r="S30" s="481"/>
      <c r="T30" s="481"/>
    </row>
    <row r="31" spans="2:20" ht="13" x14ac:dyDescent="0.3">
      <c r="B31" s="92"/>
      <c r="C31" s="342"/>
      <c r="D31" s="340"/>
      <c r="E31" s="341"/>
      <c r="F31" s="341"/>
      <c r="G31" s="89">
        <f t="shared" si="0"/>
        <v>0</v>
      </c>
      <c r="H31" s="12" t="str">
        <f t="shared" si="2"/>
        <v/>
      </c>
      <c r="I31" s="8"/>
      <c r="K31" s="8"/>
      <c r="L31" s="8"/>
      <c r="M31" s="8"/>
      <c r="N31" s="8"/>
      <c r="O31" s="94"/>
      <c r="Q31" s="481"/>
      <c r="R31" s="483" t="str">
        <f t="shared" si="1"/>
        <v/>
      </c>
      <c r="S31" s="481"/>
      <c r="T31" s="481"/>
    </row>
    <row r="32" spans="2:20" ht="13" x14ac:dyDescent="0.3">
      <c r="B32" s="92"/>
      <c r="C32" s="347"/>
      <c r="D32" s="348"/>
      <c r="E32" s="349"/>
      <c r="F32" s="349"/>
      <c r="G32" s="350">
        <f t="shared" si="0"/>
        <v>0</v>
      </c>
      <c r="H32" s="351" t="str">
        <f t="shared" si="2"/>
        <v/>
      </c>
      <c r="I32" s="8">
        <v>8</v>
      </c>
      <c r="K32" s="8"/>
      <c r="L32" s="8"/>
      <c r="M32" s="8"/>
      <c r="N32" s="8"/>
      <c r="O32" s="94"/>
      <c r="Q32" s="481"/>
      <c r="R32" s="483" t="str">
        <f t="shared" si="1"/>
        <v/>
      </c>
      <c r="S32" s="481"/>
      <c r="T32" s="481"/>
    </row>
    <row r="33" spans="2:20" ht="13" x14ac:dyDescent="0.3">
      <c r="B33" s="92"/>
      <c r="C33" s="347"/>
      <c r="D33" s="348"/>
      <c r="E33" s="349"/>
      <c r="F33" s="349"/>
      <c r="G33" s="350">
        <f t="shared" si="0"/>
        <v>0</v>
      </c>
      <c r="H33" s="351" t="str">
        <f t="shared" si="2"/>
        <v/>
      </c>
      <c r="I33" s="8"/>
      <c r="K33" s="8"/>
      <c r="L33" s="8"/>
      <c r="M33" s="8"/>
      <c r="N33" s="8"/>
      <c r="O33" s="94"/>
      <c r="Q33" s="481"/>
      <c r="R33" s="483" t="str">
        <f t="shared" si="1"/>
        <v/>
      </c>
      <c r="S33" s="481"/>
      <c r="T33" s="481"/>
    </row>
    <row r="34" spans="2:20" ht="13" x14ac:dyDescent="0.3">
      <c r="B34" s="92"/>
      <c r="C34" s="342"/>
      <c r="D34" s="340"/>
      <c r="E34" s="341"/>
      <c r="F34" s="341"/>
      <c r="G34" s="89">
        <f t="shared" si="0"/>
        <v>0</v>
      </c>
      <c r="H34" s="12" t="str">
        <f t="shared" si="2"/>
        <v/>
      </c>
      <c r="I34" s="8">
        <v>9</v>
      </c>
      <c r="K34" s="8"/>
      <c r="L34" s="8"/>
      <c r="M34" s="8"/>
      <c r="N34" s="8"/>
      <c r="O34" s="94"/>
      <c r="Q34" s="481"/>
      <c r="R34" s="483" t="str">
        <f t="shared" si="1"/>
        <v/>
      </c>
      <c r="S34" s="481"/>
      <c r="T34" s="481"/>
    </row>
    <row r="35" spans="2:20" ht="13" x14ac:dyDescent="0.3">
      <c r="B35" s="92"/>
      <c r="C35" s="342"/>
      <c r="D35" s="340"/>
      <c r="E35" s="341"/>
      <c r="F35" s="341"/>
      <c r="G35" s="89">
        <f t="shared" si="0"/>
        <v>0</v>
      </c>
      <c r="H35" s="12" t="str">
        <f t="shared" si="2"/>
        <v/>
      </c>
      <c r="I35" s="8"/>
      <c r="K35" s="8"/>
      <c r="L35" s="8"/>
      <c r="M35" s="8"/>
      <c r="N35" s="8"/>
      <c r="O35" s="94"/>
      <c r="Q35" s="481"/>
      <c r="R35" s="483" t="str">
        <f t="shared" si="1"/>
        <v/>
      </c>
      <c r="S35" s="481"/>
      <c r="T35" s="481"/>
    </row>
    <row r="36" spans="2:20" ht="13" x14ac:dyDescent="0.3">
      <c r="B36" s="92"/>
      <c r="C36" s="347"/>
      <c r="D36" s="348"/>
      <c r="E36" s="349"/>
      <c r="F36" s="349"/>
      <c r="G36" s="350">
        <f t="shared" si="0"/>
        <v>0</v>
      </c>
      <c r="H36" s="351" t="str">
        <f t="shared" si="2"/>
        <v/>
      </c>
      <c r="I36" s="8">
        <v>10</v>
      </c>
      <c r="K36" s="8"/>
      <c r="L36" s="8"/>
      <c r="M36" s="8"/>
      <c r="N36" s="8"/>
      <c r="O36" s="94"/>
      <c r="Q36" s="481"/>
      <c r="R36" s="483" t="str">
        <f t="shared" si="1"/>
        <v/>
      </c>
      <c r="S36" s="481"/>
      <c r="T36" s="481"/>
    </row>
    <row r="37" spans="2:20" ht="13" x14ac:dyDescent="0.3">
      <c r="B37" s="92"/>
      <c r="C37" s="347"/>
      <c r="D37" s="348"/>
      <c r="E37" s="349"/>
      <c r="F37" s="349"/>
      <c r="G37" s="350">
        <f t="shared" si="0"/>
        <v>0</v>
      </c>
      <c r="H37" s="351" t="str">
        <f t="shared" si="2"/>
        <v/>
      </c>
      <c r="I37" s="8"/>
      <c r="K37" s="8"/>
      <c r="L37" s="8"/>
      <c r="M37" s="8"/>
      <c r="N37" s="8"/>
      <c r="O37" s="94"/>
      <c r="Q37" s="481"/>
      <c r="R37" s="483" t="str">
        <f t="shared" si="1"/>
        <v/>
      </c>
      <c r="S37" s="481"/>
      <c r="T37" s="481"/>
    </row>
    <row r="38" spans="2:20" ht="13" x14ac:dyDescent="0.3">
      <c r="B38" s="92"/>
      <c r="C38" s="342"/>
      <c r="D38" s="340"/>
      <c r="E38" s="341"/>
      <c r="F38" s="341"/>
      <c r="G38" s="89">
        <f t="shared" si="0"/>
        <v>0</v>
      </c>
      <c r="H38" s="12" t="str">
        <f t="shared" si="2"/>
        <v/>
      </c>
      <c r="I38" s="8">
        <v>11</v>
      </c>
      <c r="K38" s="424"/>
      <c r="L38" s="8"/>
      <c r="M38" s="8"/>
      <c r="N38" s="8"/>
      <c r="O38" s="94"/>
      <c r="Q38" s="481"/>
      <c r="R38" s="483" t="str">
        <f t="shared" si="1"/>
        <v/>
      </c>
      <c r="S38" s="481"/>
      <c r="T38" s="481"/>
    </row>
    <row r="39" spans="2:20" ht="13" x14ac:dyDescent="0.3">
      <c r="B39" s="92"/>
      <c r="C39" s="342"/>
      <c r="D39" s="340"/>
      <c r="E39" s="341"/>
      <c r="F39" s="341"/>
      <c r="G39" s="89">
        <f t="shared" si="0"/>
        <v>0</v>
      </c>
      <c r="H39" s="12" t="str">
        <f t="shared" si="2"/>
        <v/>
      </c>
      <c r="I39" s="8"/>
      <c r="K39" s="486"/>
      <c r="L39" s="8"/>
      <c r="M39" s="8"/>
      <c r="N39" s="8"/>
      <c r="O39" s="94"/>
      <c r="Q39" s="481"/>
      <c r="R39" s="483" t="str">
        <f t="shared" si="1"/>
        <v/>
      </c>
      <c r="S39" s="481"/>
      <c r="T39" s="481"/>
    </row>
    <row r="40" spans="2:20" ht="13" x14ac:dyDescent="0.3">
      <c r="B40" s="92"/>
      <c r="C40" s="347"/>
      <c r="D40" s="348"/>
      <c r="E40" s="349"/>
      <c r="F40" s="349"/>
      <c r="G40" s="350">
        <f t="shared" si="0"/>
        <v>0</v>
      </c>
      <c r="H40" s="351" t="str">
        <f t="shared" si="2"/>
        <v/>
      </c>
      <c r="I40" s="8">
        <v>12</v>
      </c>
      <c r="K40" s="486"/>
      <c r="L40" s="8"/>
      <c r="M40" s="8"/>
      <c r="N40" s="8"/>
      <c r="O40" s="94"/>
      <c r="Q40" s="481"/>
      <c r="R40" s="483" t="str">
        <f t="shared" si="1"/>
        <v/>
      </c>
      <c r="S40" s="481"/>
      <c r="T40" s="481"/>
    </row>
    <row r="41" spans="2:20" ht="13" x14ac:dyDescent="0.3">
      <c r="B41" s="92"/>
      <c r="C41" s="347"/>
      <c r="D41" s="348"/>
      <c r="E41" s="349"/>
      <c r="F41" s="349"/>
      <c r="G41" s="350">
        <f t="shared" si="0"/>
        <v>0</v>
      </c>
      <c r="H41" s="351" t="str">
        <f t="shared" si="2"/>
        <v/>
      </c>
      <c r="I41" s="8"/>
      <c r="K41" s="424"/>
      <c r="L41" s="8"/>
      <c r="M41" s="8"/>
      <c r="N41" s="8"/>
      <c r="O41" s="94"/>
      <c r="Q41" s="481"/>
      <c r="R41" s="483" t="str">
        <f t="shared" si="1"/>
        <v/>
      </c>
      <c r="S41" s="481"/>
      <c r="T41" s="481"/>
    </row>
    <row r="42" spans="2:20" ht="13" x14ac:dyDescent="0.3">
      <c r="B42" s="92"/>
      <c r="C42" s="342"/>
      <c r="D42" s="340"/>
      <c r="E42" s="341"/>
      <c r="F42" s="341"/>
      <c r="G42" s="89">
        <f t="shared" si="0"/>
        <v>0</v>
      </c>
      <c r="H42" s="12" t="str">
        <f t="shared" si="2"/>
        <v/>
      </c>
      <c r="I42" s="8">
        <v>13</v>
      </c>
      <c r="K42" s="8"/>
      <c r="L42" s="8"/>
      <c r="M42" s="8"/>
      <c r="N42" s="8"/>
      <c r="O42" s="94"/>
      <c r="Q42" s="481"/>
      <c r="R42" s="483" t="str">
        <f t="shared" si="1"/>
        <v/>
      </c>
      <c r="S42" s="481"/>
      <c r="T42" s="481"/>
    </row>
    <row r="43" spans="2:20" ht="13" x14ac:dyDescent="0.3">
      <c r="B43" s="92"/>
      <c r="C43" s="342"/>
      <c r="D43" s="340"/>
      <c r="E43" s="341"/>
      <c r="F43" s="341"/>
      <c r="G43" s="89">
        <f t="shared" si="0"/>
        <v>0</v>
      </c>
      <c r="H43" s="12" t="str">
        <f t="shared" si="2"/>
        <v/>
      </c>
      <c r="I43" s="8"/>
      <c r="K43" s="8"/>
      <c r="L43" s="8"/>
      <c r="M43" s="8"/>
      <c r="N43" s="8"/>
      <c r="O43" s="94"/>
      <c r="Q43" s="481"/>
      <c r="R43" s="483" t="str">
        <f t="shared" si="1"/>
        <v/>
      </c>
      <c r="S43" s="481"/>
      <c r="T43" s="481"/>
    </row>
    <row r="44" spans="2:20" ht="13" x14ac:dyDescent="0.3">
      <c r="B44" s="92"/>
      <c r="C44" s="347"/>
      <c r="D44" s="348"/>
      <c r="E44" s="349"/>
      <c r="F44" s="349"/>
      <c r="G44" s="350">
        <f t="shared" si="0"/>
        <v>0</v>
      </c>
      <c r="H44" s="351" t="str">
        <f t="shared" si="2"/>
        <v/>
      </c>
      <c r="I44" s="8">
        <v>14</v>
      </c>
      <c r="K44" s="8"/>
      <c r="L44" s="8"/>
      <c r="M44" s="8"/>
      <c r="N44" s="8"/>
      <c r="O44" s="94"/>
      <c r="Q44" s="481"/>
      <c r="R44" s="483" t="str">
        <f t="shared" si="1"/>
        <v/>
      </c>
      <c r="S44" s="481"/>
      <c r="T44" s="481"/>
    </row>
    <row r="45" spans="2:20" ht="13" x14ac:dyDescent="0.3">
      <c r="B45" s="92"/>
      <c r="C45" s="347"/>
      <c r="D45" s="348"/>
      <c r="E45" s="349"/>
      <c r="F45" s="349"/>
      <c r="G45" s="350">
        <f t="shared" si="0"/>
        <v>0</v>
      </c>
      <c r="H45" s="351" t="str">
        <f t="shared" si="2"/>
        <v/>
      </c>
      <c r="I45" s="8"/>
      <c r="L45" s="8"/>
      <c r="M45" s="8"/>
      <c r="N45" s="8"/>
      <c r="O45" s="94"/>
      <c r="Q45" s="481"/>
      <c r="R45" s="483" t="str">
        <f t="shared" si="1"/>
        <v/>
      </c>
      <c r="S45" s="481"/>
      <c r="T45" s="481"/>
    </row>
    <row r="46" spans="2:20" ht="13" x14ac:dyDescent="0.3">
      <c r="B46" s="92"/>
      <c r="C46" s="342"/>
      <c r="D46" s="340"/>
      <c r="E46" s="341"/>
      <c r="F46" s="341"/>
      <c r="G46" s="89">
        <f t="shared" si="0"/>
        <v>0</v>
      </c>
      <c r="H46" s="12" t="str">
        <f t="shared" si="2"/>
        <v/>
      </c>
      <c r="I46" s="8">
        <v>15</v>
      </c>
      <c r="L46" s="8"/>
      <c r="M46" s="8"/>
      <c r="N46" s="8"/>
      <c r="O46" s="94"/>
      <c r="Q46" s="481"/>
      <c r="R46" s="483" t="str">
        <f t="shared" si="1"/>
        <v/>
      </c>
      <c r="S46" s="481"/>
      <c r="T46" s="481"/>
    </row>
    <row r="47" spans="2:20" ht="13" x14ac:dyDescent="0.3">
      <c r="B47" s="92"/>
      <c r="C47" s="342"/>
      <c r="D47" s="340"/>
      <c r="E47" s="341"/>
      <c r="F47" s="341"/>
      <c r="G47" s="89">
        <f t="shared" si="0"/>
        <v>0</v>
      </c>
      <c r="H47" s="12" t="str">
        <f t="shared" si="2"/>
        <v/>
      </c>
      <c r="I47" s="8"/>
      <c r="L47" s="8"/>
      <c r="M47" s="8"/>
      <c r="N47" s="8"/>
      <c r="O47" s="94"/>
      <c r="Q47" s="481"/>
      <c r="R47" s="483" t="str">
        <f t="shared" si="1"/>
        <v/>
      </c>
      <c r="S47" s="481"/>
      <c r="T47" s="481"/>
    </row>
    <row r="48" spans="2:20" ht="13" x14ac:dyDescent="0.3">
      <c r="B48" s="92"/>
      <c r="C48" s="8"/>
      <c r="D48" s="8"/>
      <c r="E48" s="430" t="str">
        <f>IF(COUNT(E16:E47)=COUNT(F16:F47),"", "Please enter complete fill periods (i.e., equal number of min and max levels)!")</f>
        <v/>
      </c>
      <c r="F48" s="428"/>
      <c r="G48" s="8"/>
      <c r="H48" s="8"/>
      <c r="I48" s="8"/>
      <c r="J48" s="8"/>
      <c r="L48" s="8"/>
      <c r="M48" s="8"/>
      <c r="N48" s="8"/>
      <c r="O48" s="94"/>
      <c r="Q48" s="481"/>
      <c r="R48" s="481"/>
      <c r="S48" s="481"/>
      <c r="T48" s="481"/>
    </row>
    <row r="49" spans="2:20" ht="27" customHeight="1" thickBot="1" x14ac:dyDescent="0.35">
      <c r="B49" s="92"/>
      <c r="C49" s="8"/>
      <c r="D49" s="8"/>
      <c r="E49" s="429"/>
      <c r="F49" s="429"/>
      <c r="G49" s="8"/>
      <c r="H49" s="8"/>
      <c r="I49" s="8"/>
      <c r="J49" s="8"/>
      <c r="L49" s="8"/>
      <c r="M49" s="8"/>
      <c r="N49" s="8"/>
      <c r="O49" s="94"/>
      <c r="Q49" s="481"/>
      <c r="R49" s="481"/>
      <c r="S49" s="481"/>
      <c r="T49" s="481"/>
    </row>
    <row r="50" spans="2:20" x14ac:dyDescent="0.25">
      <c r="B50" s="92"/>
      <c r="C50" s="17" t="s">
        <v>0</v>
      </c>
      <c r="D50" s="18" t="str">
        <f>IF(D8="y","Vol at Start of Fill","Low/Min Level")</f>
        <v>Low/Min Level</v>
      </c>
      <c r="E50" s="18" t="str">
        <f>IF(D8="y","Vol at End of Fill","High/Max Level")</f>
        <v>High/Max Level</v>
      </c>
      <c r="F50" s="18" t="s">
        <v>13</v>
      </c>
      <c r="G50" s="67" t="s">
        <v>16</v>
      </c>
      <c r="H50" s="18" t="s">
        <v>41</v>
      </c>
      <c r="I50" s="70" t="s">
        <v>6</v>
      </c>
      <c r="J50" s="433" t="s">
        <v>11</v>
      </c>
      <c r="K50" s="434"/>
      <c r="L50" s="435"/>
      <c r="M50" s="51"/>
      <c r="N50" s="52"/>
      <c r="O50" s="94"/>
      <c r="P50" s="487"/>
      <c r="Q50" s="481"/>
      <c r="R50" s="481"/>
      <c r="S50" s="481"/>
      <c r="T50" s="481"/>
    </row>
    <row r="51" spans="2:20" ht="12.75" customHeight="1" x14ac:dyDescent="0.25">
      <c r="B51" s="92"/>
      <c r="C51" s="19"/>
      <c r="D51" s="20"/>
      <c r="E51" s="20"/>
      <c r="F51" s="20" t="s">
        <v>14</v>
      </c>
      <c r="G51" s="68" t="s">
        <v>15</v>
      </c>
      <c r="H51" s="20" t="s">
        <v>42</v>
      </c>
      <c r="I51" s="71" t="s">
        <v>15</v>
      </c>
      <c r="J51" s="20" t="s">
        <v>9</v>
      </c>
      <c r="K51" s="493" t="s">
        <v>232</v>
      </c>
      <c r="L51" s="46" t="s">
        <v>12</v>
      </c>
      <c r="M51" s="20" t="s">
        <v>24</v>
      </c>
      <c r="N51" s="23" t="s">
        <v>25</v>
      </c>
      <c r="O51" s="94"/>
      <c r="P51" s="8"/>
      <c r="Q51" s="481"/>
      <c r="R51" s="481"/>
      <c r="S51" s="481"/>
      <c r="T51" s="481"/>
    </row>
    <row r="52" spans="2:20" ht="26.25" customHeight="1" thickBot="1" x14ac:dyDescent="0.3">
      <c r="B52" s="92"/>
      <c r="C52" s="21"/>
      <c r="D52" s="22" t="str">
        <f>IF(D8="y","(gal)","(ft)")</f>
        <v>(ft)</v>
      </c>
      <c r="E52" s="22" t="str">
        <f>IF(D8="y","(gal)","(ft)")</f>
        <v>(ft)</v>
      </c>
      <c r="F52" s="22" t="s">
        <v>17</v>
      </c>
      <c r="G52" s="69" t="s">
        <v>17</v>
      </c>
      <c r="H52" s="22" t="s">
        <v>17</v>
      </c>
      <c r="I52" s="72" t="s">
        <v>17</v>
      </c>
      <c r="J52" s="305" t="s">
        <v>32</v>
      </c>
      <c r="K52" s="491" t="s">
        <v>233</v>
      </c>
      <c r="L52" s="305" t="s">
        <v>32</v>
      </c>
      <c r="M52" s="22" t="s">
        <v>58</v>
      </c>
      <c r="N52" s="87" t="s">
        <v>58</v>
      </c>
      <c r="O52" s="94"/>
      <c r="Q52" s="481"/>
      <c r="R52" s="481"/>
      <c r="S52" s="481"/>
      <c r="T52" s="481"/>
    </row>
    <row r="53" spans="2:20" ht="13" thickTop="1" x14ac:dyDescent="0.25">
      <c r="B53" s="92">
        <f t="shared" ref="B53:B67" si="3">IF(D53=0,0,1)</f>
        <v>0</v>
      </c>
      <c r="C53" s="73">
        <v>1</v>
      </c>
      <c r="D53" s="74">
        <f>IF(ISBLANK(E18),E19,E18)</f>
        <v>0</v>
      </c>
      <c r="E53" s="74">
        <f>IF(ISBLANK(F18),F19,F18)</f>
        <v>0</v>
      </c>
      <c r="F53" s="86" t="str">
        <f>IF(OR($D$7="c",$D$7="h"),($D53)*PI()*($D$10/2)^2*7.48/10^6,IF($D$7="r",$D53*$D$10*$D$11*7.48/10^6,IF($D$8="y",$D53/10^6,"error")))</f>
        <v>error</v>
      </c>
      <c r="G53" s="86" t="str">
        <f>IF(OR($D$7="c",$D$7="h"),($E53-$D53)*PI()*($D$10/2)^2*7.48/10^6,IF($D$7="r",($E53-$D53)*$D$10*$D$11*7.48/10^6,IF($D$8="y",($E53-$D53)/10^6,"error")))</f>
        <v>error</v>
      </c>
      <c r="H53" s="49"/>
      <c r="I53" s="75" t="str">
        <f>IF(D53+E53=0,"n/a",IF(OR($D$7="c",$D$7="h"),((D53+E53)/2)*PI()*($D$10/2)^2*7.48/10^6,IF($D$7="r",((D53+E53)/2)*$D$10*$D$11*7.48/10^6,IF($D$8="y",((D53+E53)/2)/10^6,""))))</f>
        <v>n/a</v>
      </c>
      <c r="J53" s="49" t="e">
        <f t="shared" ref="J53:J67" si="4">IF(G53=0,"n/a",G53/F53)</f>
        <v>#VALUE!</v>
      </c>
      <c r="K53" s="492" t="str">
        <f>IF(AND('Tank Summary'!$P$16="y",'Tank Summary'!$P$15 = "n"), IF(E53&lt;=$D$10, 10.2, 3.58*(E53/Example!$D$10)+6.66), IF(AND('Tank Summary'!$P$16="y", 'Tank Summary'!$P$15="y"),IF(E53 &lt;= (PI()/4)*$D$10^3, 10.2, 3.58*(E53/$D$12)+6.66), "Tank mixing equations do not apply"))</f>
        <v>Tank mixing equations do not apply</v>
      </c>
      <c r="L53" s="76" t="e">
        <f>IF(F53=0,"n/a",((K53/1.13)*$D$13)/((F53*10^6/7.48)^(1/3)))</f>
        <v>#VALUE!</v>
      </c>
      <c r="M53" s="49" t="str">
        <f>IF(ISERROR(H19-H18),"n/a",IF(ISBLANK(E18), "n/a",H19-H18))</f>
        <v>n/a</v>
      </c>
      <c r="N53" s="50" t="str">
        <f>IF(ISERROR(H19-H18),"n/a",IF(ISBLANK(E18), H19-H18,"n/a"))</f>
        <v>n/a</v>
      </c>
      <c r="O53" s="94"/>
      <c r="Q53" s="481"/>
      <c r="R53" s="481"/>
      <c r="S53" s="481"/>
      <c r="T53" s="481"/>
    </row>
    <row r="54" spans="2:20" x14ac:dyDescent="0.25">
      <c r="B54" s="92">
        <f t="shared" si="3"/>
        <v>0</v>
      </c>
      <c r="C54" s="77">
        <v>2</v>
      </c>
      <c r="D54" s="74">
        <f>IF(ISBLANK(E20),E21,E20)</f>
        <v>0</v>
      </c>
      <c r="E54" s="74">
        <f>IF(ISBLANK(F20),F21,F20)</f>
        <v>0</v>
      </c>
      <c r="F54" s="32" t="str">
        <f>IF(OR($D$7="c",$D$7="h"),($D54)*PI()*($D$10/2)^2*7.48/10^6,IF($D$7="r",$D54*$D$10*$D$11*7.48/10^6,IF($D$8="y",$D54/10^6,"error")))</f>
        <v>error</v>
      </c>
      <c r="G54" s="32" t="str">
        <f>IF(OR($D$7="c",$D$7="h"),($E54-$D54)*PI()*($D$10/2)^2*7.48/10^6,IF($D$7="r",($E54-$D54)*$D$10*$D$11*7.48/10^6,IF($D$8="y",($E54-$D54)/10^6,"error")))</f>
        <v>error</v>
      </c>
      <c r="H54" s="49" t="str">
        <f>IF(D54,IF(OR($D$7="c",$D$7="h"),($E53-$D54)*PI()*($D$10/2)^2*7.48/10^6,IF($D$7="r",($E53-$D54)*$D$10*$D$11*7.48/10^6,IF($D$8="y",($E53-$D54)/10^6,""))),"")</f>
        <v/>
      </c>
      <c r="I54" s="75" t="str">
        <f>IF(D54+E54=0,"n/a",IF(OR($D$7="c",$D$7="h"),((D54+E54)/2)*PI()*($D$10/2)^2*7.48/10^6,IF($D$7="r",((D54+E54)/2)*$D$10*$D$11*7.48/10^6,IF($D$8="y",((D54+E54)/2)/10^6,""))))</f>
        <v>n/a</v>
      </c>
      <c r="J54" s="11" t="e">
        <f t="shared" si="4"/>
        <v>#VALUE!</v>
      </c>
      <c r="K54" s="492" t="str">
        <f>IF(AND('Tank Summary'!$P$16="y",'Tank Summary'!$P$15 = "n"), IF(E54&lt;=$D$10, 10.2, 3.58*(E54/Example!$D$10)+6.66), IF(AND('Tank Summary'!$P$16="y", 'Tank Summary'!$P$15="y"),IF(E54 &lt;= (PI()/4)*$D$10^3, 10.2, 3.58*(E54/$D$12)+6.66), "Tank mixing equations do not apply"))</f>
        <v>Tank mixing equations do not apply</v>
      </c>
      <c r="L54" s="76" t="e">
        <f t="shared" ref="L54:L67" si="5">IF(F54=0,"n/a",((K54/1.13)*$D$13)/((F54*10^6/7.48)^(1/3)))</f>
        <v>#VALUE!</v>
      </c>
      <c r="M54" s="11" t="str">
        <f>IF(ISERROR(H21-H20),"n/a",IF(ISBLANK(E20), H20-H19,H21-H20))</f>
        <v>n/a</v>
      </c>
      <c r="N54" s="47" t="str">
        <f>IF(ISERROR(H21-H20),"n/a",IF(ISBLANK(E20), H21-H20,H20-H19))</f>
        <v>n/a</v>
      </c>
      <c r="O54" s="94"/>
      <c r="Q54" s="481"/>
      <c r="R54" s="481"/>
      <c r="S54" s="481"/>
      <c r="T54" s="481"/>
    </row>
    <row r="55" spans="2:20" x14ac:dyDescent="0.25">
      <c r="B55" s="92">
        <f t="shared" si="3"/>
        <v>0</v>
      </c>
      <c r="C55" s="77">
        <v>3</v>
      </c>
      <c r="D55" s="74">
        <f>IF(ISBLANK(E22),E23,E22)</f>
        <v>0</v>
      </c>
      <c r="E55" s="74">
        <f>IF(ISBLANK(F22),F23,F22)</f>
        <v>0</v>
      </c>
      <c r="F55" s="32" t="str">
        <f t="shared" ref="F55:F67" si="6">IF(OR($D$7="c",$D$7="h"),($D55)*PI()*($D$10/2)^2*7.48/10^6,IF($D$7="r",$D55*$D$10*$D$11*7.48/10^6,IF($D$8="y",$D55/10^6,"error")))</f>
        <v>error</v>
      </c>
      <c r="G55" s="32" t="str">
        <f t="shared" ref="G55:G67" si="7">IF(OR($D$7="c",$D$7="h"),($E55-$D55)*PI()*($D$10/2)^2*7.48/10^6,IF($D$7="r",($E55-$D55)*$D$10*$D$11*7.48/10^6,IF($D$8="y",($E55-$D55)/10^6,"error")))</f>
        <v>error</v>
      </c>
      <c r="H55" s="49" t="str">
        <f t="shared" ref="H55:H67" si="8">IF(D55,IF(OR($D$7="c",$D$7="h"),($E54-$D55)*PI()*($D$10/2)^2*7.48/10^6,IF($D$7="r",($E54-$D55)*$D$10*$D$11*7.48/10^6,IF($D$8="y",($E54-$D55)/10^6,""))),"")</f>
        <v/>
      </c>
      <c r="I55" s="75" t="str">
        <f t="shared" ref="I55:I67" si="9">IF(D55+E55=0,"n/a",IF(OR($D$7="c",$D$7="h"),((D55+E55)/2)*PI()*($D$10/2)^2*7.48/10^6,IF($D$7="r",((D55+E55)/2)*$D$10*$D$11*7.48/10^6,IF($D$8="y",((D55+E55)/2)/10^6,""))))</f>
        <v>n/a</v>
      </c>
      <c r="J55" s="11" t="e">
        <f t="shared" si="4"/>
        <v>#VALUE!</v>
      </c>
      <c r="K55" s="492" t="str">
        <f>IF(AND('Tank Summary'!$P$16="y",'Tank Summary'!$P$15 = "n"), IF(E55&lt;=$D$10, 10.2, 3.58*(E55/Example!$D$10)+6.66), IF(AND('Tank Summary'!$P$16="y", 'Tank Summary'!$P$15="y"),IF(E55 &lt;= (PI()/4)*$D$10^3, 10.2, 3.58*(E55/$D$12)+6.66), "Tank mixing equations do not apply"))</f>
        <v>Tank mixing equations do not apply</v>
      </c>
      <c r="L55" s="76" t="e">
        <f t="shared" si="5"/>
        <v>#VALUE!</v>
      </c>
      <c r="M55" s="11" t="str">
        <f>IF(ISERROR(H23-H22),"n/a",IF(ISBLANK(E22), H22-H21,H23-H22))</f>
        <v>n/a</v>
      </c>
      <c r="N55" s="47" t="str">
        <f>IF(ISERROR(H23-H22),"n/a",IF(ISBLANK(E22), H23-H22,H22-H21))</f>
        <v>n/a</v>
      </c>
      <c r="O55" s="94"/>
      <c r="Q55" s="481"/>
      <c r="R55" s="481"/>
      <c r="S55" s="481"/>
      <c r="T55" s="481"/>
    </row>
    <row r="56" spans="2:20" x14ac:dyDescent="0.25">
      <c r="B56" s="92">
        <f t="shared" si="3"/>
        <v>0</v>
      </c>
      <c r="C56" s="77">
        <v>4</v>
      </c>
      <c r="D56" s="74">
        <f>IF(ISBLANK(E24),E25,E24)</f>
        <v>0</v>
      </c>
      <c r="E56" s="74">
        <f>IF(ISBLANK(F24),F25,F24)</f>
        <v>0</v>
      </c>
      <c r="F56" s="32" t="str">
        <f t="shared" si="6"/>
        <v>error</v>
      </c>
      <c r="G56" s="32" t="str">
        <f t="shared" si="7"/>
        <v>error</v>
      </c>
      <c r="H56" s="49" t="str">
        <f t="shared" si="8"/>
        <v/>
      </c>
      <c r="I56" s="75" t="str">
        <f t="shared" si="9"/>
        <v>n/a</v>
      </c>
      <c r="J56" s="11" t="e">
        <f t="shared" si="4"/>
        <v>#VALUE!</v>
      </c>
      <c r="K56" s="492" t="str">
        <f>IF(AND('Tank Summary'!$P$16="y",'Tank Summary'!$P$15 = "n"), IF(E56&lt;=$D$10, 10.2, 3.58*(E56/Example!$D$10)+6.66), IF(AND('Tank Summary'!$P$16="y", 'Tank Summary'!$P$15="y"),IF(E56 &lt;= (PI()/4)*$D$10^3, 10.2, 3.58*(E56/$D$12)+6.66), "Tank mixing equations do not apply"))</f>
        <v>Tank mixing equations do not apply</v>
      </c>
      <c r="L56" s="76" t="e">
        <f t="shared" si="5"/>
        <v>#VALUE!</v>
      </c>
      <c r="M56" s="11" t="str">
        <f>IF(ISERROR(H25-H24),"n/a",IF(ISBLANK(E24), H24-H23,H25-H24))</f>
        <v>n/a</v>
      </c>
      <c r="N56" s="47" t="str">
        <f>IF(ISERROR(H25-H24),"n/a",IF(ISBLANK(E24), H25-H24,H24-H23))</f>
        <v>n/a</v>
      </c>
      <c r="O56" s="94"/>
      <c r="Q56" s="481"/>
      <c r="R56" s="481"/>
      <c r="S56" s="481"/>
      <c r="T56" s="481"/>
    </row>
    <row r="57" spans="2:20" x14ac:dyDescent="0.25">
      <c r="B57" s="92">
        <f t="shared" si="3"/>
        <v>0</v>
      </c>
      <c r="C57" s="77">
        <v>5</v>
      </c>
      <c r="D57" s="74">
        <f>IF(ISBLANK(E26),E27,E26)</f>
        <v>0</v>
      </c>
      <c r="E57" s="74">
        <f>IF(ISBLANK(F26),F27,F26)</f>
        <v>0</v>
      </c>
      <c r="F57" s="32" t="str">
        <f t="shared" si="6"/>
        <v>error</v>
      </c>
      <c r="G57" s="32" t="str">
        <f t="shared" si="7"/>
        <v>error</v>
      </c>
      <c r="H57" s="49" t="str">
        <f t="shared" si="8"/>
        <v/>
      </c>
      <c r="I57" s="75" t="str">
        <f t="shared" si="9"/>
        <v>n/a</v>
      </c>
      <c r="J57" s="11" t="e">
        <f t="shared" si="4"/>
        <v>#VALUE!</v>
      </c>
      <c r="K57" s="492" t="str">
        <f>IF(AND('Tank Summary'!$P$16="y",'Tank Summary'!$P$15 = "n"), IF(E57&lt;=$D$10, 10.2, 3.58*(E57/Example!$D$10)+6.66), IF(AND('Tank Summary'!$P$16="y", 'Tank Summary'!$P$15="y"),IF(E57 &lt;= (PI()/4)*$D$10^3, 10.2, 3.58*(E57/$D$12)+6.66), "Tank mixing equations do not apply"))</f>
        <v>Tank mixing equations do not apply</v>
      </c>
      <c r="L57" s="76" t="e">
        <f t="shared" si="5"/>
        <v>#VALUE!</v>
      </c>
      <c r="M57" s="11" t="str">
        <f>IF(ISERROR(H27-H26),"n/a",IF(ISBLANK(E26), H26-H25,H27-H26))</f>
        <v>n/a</v>
      </c>
      <c r="N57" s="47" t="str">
        <f>IF(ISERROR(H27-H26),"n/a",IF(ISBLANK(E26), H27-H26,H26-H25))</f>
        <v>n/a</v>
      </c>
      <c r="O57" s="94"/>
      <c r="Q57" s="481"/>
      <c r="R57" s="481"/>
      <c r="S57" s="481"/>
      <c r="T57" s="481"/>
    </row>
    <row r="58" spans="2:20" x14ac:dyDescent="0.25">
      <c r="B58" s="92">
        <f t="shared" si="3"/>
        <v>0</v>
      </c>
      <c r="C58" s="77">
        <v>6</v>
      </c>
      <c r="D58" s="74">
        <f>IF(ISBLANK(E28),E29,E28)</f>
        <v>0</v>
      </c>
      <c r="E58" s="74">
        <f>IF(ISBLANK(F28),F29,F28)</f>
        <v>0</v>
      </c>
      <c r="F58" s="32" t="str">
        <f t="shared" si="6"/>
        <v>error</v>
      </c>
      <c r="G58" s="32" t="str">
        <f t="shared" si="7"/>
        <v>error</v>
      </c>
      <c r="H58" s="49" t="str">
        <f t="shared" si="8"/>
        <v/>
      </c>
      <c r="I58" s="75" t="str">
        <f t="shared" si="9"/>
        <v>n/a</v>
      </c>
      <c r="J58" s="11" t="e">
        <f t="shared" si="4"/>
        <v>#VALUE!</v>
      </c>
      <c r="K58" s="492" t="str">
        <f>IF(AND('Tank Summary'!$P$16="y",'Tank Summary'!$P$15 = "n"), IF(E58&lt;=$D$10, 10.2, 3.58*(E58/Example!$D$10)+6.66), IF(AND('Tank Summary'!$P$16="y", 'Tank Summary'!$P$15="y"),IF(E58 &lt;= (PI()/4)*$D$10^3, 10.2, 3.58*(E58/$D$12)+6.66), "Tank mixing equations do not apply"))</f>
        <v>Tank mixing equations do not apply</v>
      </c>
      <c r="L58" s="76" t="e">
        <f t="shared" si="5"/>
        <v>#VALUE!</v>
      </c>
      <c r="M58" s="11" t="str">
        <f>IF(ISERROR(H29-H28),"n/a",IF(ISBLANK(E28), H28-H27,H29-H28))</f>
        <v>n/a</v>
      </c>
      <c r="N58" s="47" t="str">
        <f>IF(ISERROR(H29-H28),"n/a",IF(ISBLANK(E28), H29-H28,H28-H27))</f>
        <v>n/a</v>
      </c>
      <c r="O58" s="94"/>
      <c r="Q58" s="481"/>
      <c r="R58" s="481"/>
      <c r="S58" s="481"/>
      <c r="T58" s="481"/>
    </row>
    <row r="59" spans="2:20" x14ac:dyDescent="0.25">
      <c r="B59" s="92">
        <f t="shared" si="3"/>
        <v>0</v>
      </c>
      <c r="C59" s="77">
        <v>7</v>
      </c>
      <c r="D59" s="74">
        <f>IF(ISBLANK(E30),E31,E30)</f>
        <v>0</v>
      </c>
      <c r="E59" s="74">
        <f>IF(ISBLANK(F30),F31,F30)</f>
        <v>0</v>
      </c>
      <c r="F59" s="32" t="str">
        <f t="shared" si="6"/>
        <v>error</v>
      </c>
      <c r="G59" s="32" t="str">
        <f t="shared" si="7"/>
        <v>error</v>
      </c>
      <c r="H59" s="49" t="str">
        <f t="shared" si="8"/>
        <v/>
      </c>
      <c r="I59" s="75" t="str">
        <f t="shared" si="9"/>
        <v>n/a</v>
      </c>
      <c r="J59" s="11" t="e">
        <f t="shared" si="4"/>
        <v>#VALUE!</v>
      </c>
      <c r="K59" s="492" t="str">
        <f>IF(AND('Tank Summary'!$P$16="y",'Tank Summary'!$P$15 = "n"), IF(E59&lt;=$D$10, 10.2, 3.58*(E59/Example!$D$10)+6.66), IF(AND('Tank Summary'!$P$16="y", 'Tank Summary'!$P$15="y"),IF(E59 &lt;= (PI()/4)*$D$10^3, 10.2, 3.58*(E59/$D$12)+6.66), "Tank mixing equations do not apply"))</f>
        <v>Tank mixing equations do not apply</v>
      </c>
      <c r="L59" s="76" t="e">
        <f t="shared" si="5"/>
        <v>#VALUE!</v>
      </c>
      <c r="M59" s="11" t="str">
        <f>IF(ISERROR(H31-H30),"n/a",IF(ISBLANK(E30), H30-H29,H31-H30))</f>
        <v>n/a</v>
      </c>
      <c r="N59" s="47" t="str">
        <f>IF(ISERROR(H31-H30),"n/a",IF(ISBLANK(E30), H31-H30,H30-H29))</f>
        <v>n/a</v>
      </c>
      <c r="O59" s="94"/>
      <c r="Q59" s="481"/>
      <c r="R59" s="481"/>
      <c r="S59" s="481"/>
      <c r="T59" s="481"/>
    </row>
    <row r="60" spans="2:20" x14ac:dyDescent="0.25">
      <c r="B60" s="92">
        <f t="shared" si="3"/>
        <v>0</v>
      </c>
      <c r="C60" s="77">
        <v>8</v>
      </c>
      <c r="D60" s="74">
        <f>IF(ISBLANK(E32),E33,E32)</f>
        <v>0</v>
      </c>
      <c r="E60" s="74">
        <f>IF(ISBLANK(F32),F33,F32)</f>
        <v>0</v>
      </c>
      <c r="F60" s="32" t="str">
        <f t="shared" si="6"/>
        <v>error</v>
      </c>
      <c r="G60" s="32" t="str">
        <f t="shared" si="7"/>
        <v>error</v>
      </c>
      <c r="H60" s="49" t="str">
        <f t="shared" si="8"/>
        <v/>
      </c>
      <c r="I60" s="75" t="str">
        <f t="shared" si="9"/>
        <v>n/a</v>
      </c>
      <c r="J60" s="11" t="e">
        <f t="shared" si="4"/>
        <v>#VALUE!</v>
      </c>
      <c r="K60" s="492" t="str">
        <f>IF(AND('Tank Summary'!$P$16="y",'Tank Summary'!$P$15 = "n"), IF(E60&lt;=$D$10, 10.2, 3.58*(E60/Example!$D$10)+6.66), IF(AND('Tank Summary'!$P$16="y", 'Tank Summary'!$P$15="y"),IF(E60 &lt;= (PI()/4)*$D$10^3, 10.2, 3.58*(E60/$D$12)+6.66), "Tank mixing equations do not apply"))</f>
        <v>Tank mixing equations do not apply</v>
      </c>
      <c r="L60" s="76" t="e">
        <f t="shared" si="5"/>
        <v>#VALUE!</v>
      </c>
      <c r="M60" s="11" t="str">
        <f>IF(ISERROR(H33-H32),"n/a",IF(ISBLANK(E32), H32-H31,H33-H32))</f>
        <v>n/a</v>
      </c>
      <c r="N60" s="47" t="str">
        <f>IF(ISERROR(H33-H32),"n/a",IF(ISBLANK(E32), H33-H32,H32-H31))</f>
        <v>n/a</v>
      </c>
      <c r="O60" s="94"/>
      <c r="Q60" s="481"/>
      <c r="R60" s="481"/>
      <c r="S60" s="481"/>
      <c r="T60" s="481"/>
    </row>
    <row r="61" spans="2:20" x14ac:dyDescent="0.25">
      <c r="B61" s="92">
        <f t="shared" si="3"/>
        <v>0</v>
      </c>
      <c r="C61" s="77">
        <v>9</v>
      </c>
      <c r="D61" s="74">
        <f>IF(ISBLANK(E34),E35,E34)</f>
        <v>0</v>
      </c>
      <c r="E61" s="74">
        <f>IF(ISBLANK(F34),F35,F34)</f>
        <v>0</v>
      </c>
      <c r="F61" s="32" t="str">
        <f t="shared" si="6"/>
        <v>error</v>
      </c>
      <c r="G61" s="32" t="str">
        <f t="shared" si="7"/>
        <v>error</v>
      </c>
      <c r="H61" s="49" t="str">
        <f t="shared" si="8"/>
        <v/>
      </c>
      <c r="I61" s="75" t="str">
        <f t="shared" si="9"/>
        <v>n/a</v>
      </c>
      <c r="J61" s="11" t="e">
        <f t="shared" si="4"/>
        <v>#VALUE!</v>
      </c>
      <c r="K61" s="492" t="str">
        <f>IF(AND('Tank Summary'!$P$16="y",'Tank Summary'!$P$15 = "n"), IF(E61&lt;=$D$10, 10.2, 3.58*(E61/Example!$D$10)+6.66), IF(AND('Tank Summary'!$P$16="y", 'Tank Summary'!$P$15="y"),IF(E61 &lt;= (PI()/4)*$D$10^3, 10.2, 3.58*(E61/$D$12)+6.66), "Tank mixing equations do not apply"))</f>
        <v>Tank mixing equations do not apply</v>
      </c>
      <c r="L61" s="76" t="e">
        <f t="shared" si="5"/>
        <v>#VALUE!</v>
      </c>
      <c r="M61" s="11" t="str">
        <f>IF(ISERROR(H35-H34),"n/a",IF(ISBLANK(E34), H34-H33,H35-H34))</f>
        <v>n/a</v>
      </c>
      <c r="N61" s="47" t="str">
        <f>IF(ISERROR(H35-H34),"n/a",IF(ISBLANK(E34), H35-H34,H34-H33))</f>
        <v>n/a</v>
      </c>
      <c r="O61" s="94"/>
      <c r="Q61" s="481"/>
      <c r="R61" s="481"/>
      <c r="S61" s="481"/>
      <c r="T61" s="481"/>
    </row>
    <row r="62" spans="2:20" x14ac:dyDescent="0.25">
      <c r="B62" s="92">
        <f t="shared" si="3"/>
        <v>0</v>
      </c>
      <c r="C62" s="77">
        <v>10</v>
      </c>
      <c r="D62" s="74">
        <f>IF(ISBLANK(E36),E37,E36)</f>
        <v>0</v>
      </c>
      <c r="E62" s="74">
        <f>IF(ISBLANK(F36),F37,F36)</f>
        <v>0</v>
      </c>
      <c r="F62" s="32" t="str">
        <f t="shared" si="6"/>
        <v>error</v>
      </c>
      <c r="G62" s="32" t="str">
        <f t="shared" si="7"/>
        <v>error</v>
      </c>
      <c r="H62" s="49" t="str">
        <f t="shared" si="8"/>
        <v/>
      </c>
      <c r="I62" s="75" t="str">
        <f t="shared" si="9"/>
        <v>n/a</v>
      </c>
      <c r="J62" s="11" t="e">
        <f t="shared" si="4"/>
        <v>#VALUE!</v>
      </c>
      <c r="K62" s="492" t="str">
        <f>IF(AND('Tank Summary'!$P$16="y",'Tank Summary'!$P$15 = "n"), IF(E62&lt;=$D$10, 10.2, 3.58*(E62/Example!$D$10)+6.66), IF(AND('Tank Summary'!$P$16="y", 'Tank Summary'!$P$15="y"),IF(E62 &lt;= (PI()/4)*$D$10^3, 10.2, 3.58*(E62/$D$12)+6.66), "Tank mixing equations do not apply"))</f>
        <v>Tank mixing equations do not apply</v>
      </c>
      <c r="L62" s="76" t="e">
        <f t="shared" si="5"/>
        <v>#VALUE!</v>
      </c>
      <c r="M62" s="11" t="str">
        <f>IF(ISERROR(H37-H36),"n/a",IF(ISBLANK(E36), H36-H35,H37-H36))</f>
        <v>n/a</v>
      </c>
      <c r="N62" s="47" t="str">
        <f>IF(ISERROR(H37-H36),"n/a",IF(ISBLANK(E36), H37-H36,H36-H35))</f>
        <v>n/a</v>
      </c>
      <c r="O62" s="94"/>
      <c r="Q62" s="481"/>
      <c r="R62" s="481"/>
      <c r="S62" s="481"/>
      <c r="T62" s="481"/>
    </row>
    <row r="63" spans="2:20" x14ac:dyDescent="0.25">
      <c r="B63" s="92">
        <f t="shared" si="3"/>
        <v>0</v>
      </c>
      <c r="C63" s="77">
        <v>11</v>
      </c>
      <c r="D63" s="74">
        <f>IF(ISBLANK(E38),E39,E38)</f>
        <v>0</v>
      </c>
      <c r="E63" s="74">
        <f>IF(ISBLANK(F38),F39,F38)</f>
        <v>0</v>
      </c>
      <c r="F63" s="32" t="str">
        <f t="shared" si="6"/>
        <v>error</v>
      </c>
      <c r="G63" s="32" t="str">
        <f t="shared" si="7"/>
        <v>error</v>
      </c>
      <c r="H63" s="49" t="str">
        <f t="shared" si="8"/>
        <v/>
      </c>
      <c r="I63" s="75" t="str">
        <f t="shared" si="9"/>
        <v>n/a</v>
      </c>
      <c r="J63" s="11" t="e">
        <f t="shared" si="4"/>
        <v>#VALUE!</v>
      </c>
      <c r="K63" s="492" t="str">
        <f>IF(AND('Tank Summary'!$P$16="y",'Tank Summary'!$P$15 = "n"), IF(E63&lt;=$D$10, 10.2, 3.58*(E63/Example!$D$10)+6.66), IF(AND('Tank Summary'!$P$16="y", 'Tank Summary'!$P$15="y"),IF(E63 &lt;= (PI()/4)*$D$10^3, 10.2, 3.58*(E63/$D$12)+6.66), "Tank mixing equations do not apply"))</f>
        <v>Tank mixing equations do not apply</v>
      </c>
      <c r="L63" s="76" t="e">
        <f t="shared" si="5"/>
        <v>#VALUE!</v>
      </c>
      <c r="M63" s="11" t="str">
        <f>IF(ISERROR(H39-H38),"n/a",IF(ISBLANK(E38), H38-H37,H39-H38))</f>
        <v>n/a</v>
      </c>
      <c r="N63" s="47" t="str">
        <f>IF(ISERROR(H39-H38),"n/a",IF(ISBLANK(E38), H39-H38,H38-H37))</f>
        <v>n/a</v>
      </c>
      <c r="O63" s="94"/>
      <c r="Q63" s="481"/>
      <c r="R63" s="481"/>
      <c r="S63" s="481"/>
      <c r="T63" s="481"/>
    </row>
    <row r="64" spans="2:20" x14ac:dyDescent="0.25">
      <c r="B64" s="92">
        <f t="shared" si="3"/>
        <v>0</v>
      </c>
      <c r="C64" s="77">
        <v>12</v>
      </c>
      <c r="D64" s="74">
        <f>IF(ISBLANK(E40),E41,E40)</f>
        <v>0</v>
      </c>
      <c r="E64" s="74">
        <f>IF(ISBLANK(F40),F41,F40)</f>
        <v>0</v>
      </c>
      <c r="F64" s="32" t="str">
        <f t="shared" si="6"/>
        <v>error</v>
      </c>
      <c r="G64" s="32" t="str">
        <f t="shared" si="7"/>
        <v>error</v>
      </c>
      <c r="H64" s="49" t="str">
        <f t="shared" si="8"/>
        <v/>
      </c>
      <c r="I64" s="75" t="str">
        <f t="shared" si="9"/>
        <v>n/a</v>
      </c>
      <c r="J64" s="11" t="e">
        <f t="shared" si="4"/>
        <v>#VALUE!</v>
      </c>
      <c r="K64" s="492" t="str">
        <f>IF(AND('Tank Summary'!$P$16="y",'Tank Summary'!$P$15 = "n"), IF(E64&lt;=$D$10, 10.2, 3.58*(E64/Example!$D$10)+6.66), IF(AND('Tank Summary'!$P$16="y", 'Tank Summary'!$P$15="y"),IF(E64 &lt;= (PI()/4)*$D$10^3, 10.2, 3.58*(E64/$D$12)+6.66), "Tank mixing equations do not apply"))</f>
        <v>Tank mixing equations do not apply</v>
      </c>
      <c r="L64" s="76" t="e">
        <f t="shared" si="5"/>
        <v>#VALUE!</v>
      </c>
      <c r="M64" s="11" t="str">
        <f>IF(ISERROR(H41-H40),"n/a",IF(ISBLANK(E40), H40-H39,H41-H40))</f>
        <v>n/a</v>
      </c>
      <c r="N64" s="47" t="str">
        <f>IF(ISERROR(H41-H40),"n/a",IF(ISBLANK(E40), H41-H40,H40-H39))</f>
        <v>n/a</v>
      </c>
      <c r="O64" s="94"/>
      <c r="Q64" s="481"/>
      <c r="R64" s="481"/>
      <c r="S64" s="481"/>
      <c r="T64" s="481"/>
    </row>
    <row r="65" spans="1:20" x14ac:dyDescent="0.25">
      <c r="B65" s="92">
        <f t="shared" si="3"/>
        <v>0</v>
      </c>
      <c r="C65" s="77">
        <v>13</v>
      </c>
      <c r="D65" s="74">
        <f>IF(ISBLANK(E42),E43,E42)</f>
        <v>0</v>
      </c>
      <c r="E65" s="74">
        <f>IF(ISBLANK(F42),F43,F42)</f>
        <v>0</v>
      </c>
      <c r="F65" s="32" t="str">
        <f t="shared" si="6"/>
        <v>error</v>
      </c>
      <c r="G65" s="32" t="str">
        <f t="shared" si="7"/>
        <v>error</v>
      </c>
      <c r="H65" s="49" t="str">
        <f t="shared" si="8"/>
        <v/>
      </c>
      <c r="I65" s="75" t="str">
        <f t="shared" si="9"/>
        <v>n/a</v>
      </c>
      <c r="J65" s="11" t="e">
        <f t="shared" si="4"/>
        <v>#VALUE!</v>
      </c>
      <c r="K65" s="492" t="str">
        <f>IF(AND('Tank Summary'!$P$16="y",'Tank Summary'!$P$15 = "n"), IF(E65&lt;=$D$10, 10.2, 3.58*(E65/Example!$D$10)+6.66), IF(AND('Tank Summary'!$P$16="y", 'Tank Summary'!$P$15="y"),IF(E65 &lt;= (PI()/4)*$D$10^3, 10.2, 3.58*(E65/$D$12)+6.66), "Tank mixing equations do not apply"))</f>
        <v>Tank mixing equations do not apply</v>
      </c>
      <c r="L65" s="76" t="e">
        <f t="shared" si="5"/>
        <v>#VALUE!</v>
      </c>
      <c r="M65" s="11" t="str">
        <f>IF(ISERROR(H43-H42),"n/a",IF(ISBLANK(E42), H42-H41,H43-H42))</f>
        <v>n/a</v>
      </c>
      <c r="N65" s="47" t="str">
        <f>IF(ISERROR(H43-H42),"n/a",IF(ISBLANK(E42), H43-H42,H42-H41))</f>
        <v>n/a</v>
      </c>
      <c r="O65" s="94"/>
      <c r="Q65" s="481"/>
      <c r="R65" s="481"/>
      <c r="S65" s="481"/>
      <c r="T65" s="481"/>
    </row>
    <row r="66" spans="1:20" x14ac:dyDescent="0.25">
      <c r="B66" s="92">
        <f t="shared" si="3"/>
        <v>0</v>
      </c>
      <c r="C66" s="77">
        <v>14</v>
      </c>
      <c r="D66" s="74">
        <f>IF(ISBLANK(E44),E45,E44)</f>
        <v>0</v>
      </c>
      <c r="E66" s="74">
        <f>IF(ISBLANK(F44),F45,F44)</f>
        <v>0</v>
      </c>
      <c r="F66" s="32" t="str">
        <f t="shared" si="6"/>
        <v>error</v>
      </c>
      <c r="G66" s="32" t="str">
        <f t="shared" si="7"/>
        <v>error</v>
      </c>
      <c r="H66" s="49" t="str">
        <f t="shared" si="8"/>
        <v/>
      </c>
      <c r="I66" s="75" t="str">
        <f t="shared" si="9"/>
        <v>n/a</v>
      </c>
      <c r="J66" s="11" t="e">
        <f t="shared" si="4"/>
        <v>#VALUE!</v>
      </c>
      <c r="K66" s="492" t="str">
        <f>IF(AND('Tank Summary'!$P$16="y",'Tank Summary'!$P$15 = "n"), IF(E66&lt;=$D$10, 10.2, 3.58*(E66/Example!$D$10)+6.66), IF(AND('Tank Summary'!$P$16="y", 'Tank Summary'!$P$15="y"),IF(E66 &lt;= (PI()/4)*$D$10^3, 10.2, 3.58*(E66/$D$12)+6.66), "Tank mixing equations do not apply"))</f>
        <v>Tank mixing equations do not apply</v>
      </c>
      <c r="L66" s="76" t="e">
        <f t="shared" si="5"/>
        <v>#VALUE!</v>
      </c>
      <c r="M66" s="11" t="str">
        <f>IF(ISERROR(H45-H44),"n/a",IF(ISBLANK(E44), H44-H43,H45-H44))</f>
        <v>n/a</v>
      </c>
      <c r="N66" s="47" t="str">
        <f>IF(ISERROR(H45-H44),"n/a",IF(ISBLANK(E44), H45-H44,H44-H43))</f>
        <v>n/a</v>
      </c>
      <c r="O66" s="94"/>
      <c r="Q66" s="481"/>
      <c r="R66" s="481"/>
      <c r="S66" s="481"/>
      <c r="T66" s="481"/>
    </row>
    <row r="67" spans="1:20" ht="13" thickBot="1" x14ac:dyDescent="0.3">
      <c r="B67" s="92">
        <f t="shared" si="3"/>
        <v>0</v>
      </c>
      <c r="C67" s="78">
        <v>15</v>
      </c>
      <c r="D67" s="79">
        <f>IF(ISBLANK(E46),E47,E46)</f>
        <v>0</v>
      </c>
      <c r="E67" s="79">
        <f>IF(ISBLANK(F46),F47,F46)</f>
        <v>0</v>
      </c>
      <c r="F67" s="127" t="str">
        <f t="shared" si="6"/>
        <v>error</v>
      </c>
      <c r="G67" s="127" t="str">
        <f t="shared" si="7"/>
        <v>error</v>
      </c>
      <c r="H67" s="128" t="str">
        <f t="shared" si="8"/>
        <v/>
      </c>
      <c r="I67" s="129" t="str">
        <f t="shared" si="9"/>
        <v>n/a</v>
      </c>
      <c r="J67" s="48" t="e">
        <f t="shared" si="4"/>
        <v>#VALUE!</v>
      </c>
      <c r="K67" s="492" t="str">
        <f>IF(AND('Tank Summary'!$P$16="y",'Tank Summary'!$P$15 = "n"), IF(E67&lt;=$D$10, 10.2, 3.58*(E67/Example!$D$10)+6.66), IF(AND('Tank Summary'!$P$16="y", 'Tank Summary'!$P$15="y"),IF(E67 &lt;= (PI()/4)*$D$10^3, 10.2, 3.58*(E67/$D$12)+6.66), "Tank mixing equations do not apply"))</f>
        <v>Tank mixing equations do not apply</v>
      </c>
      <c r="L67" s="48" t="e">
        <f t="shared" si="5"/>
        <v>#VALUE!</v>
      </c>
      <c r="M67" s="48" t="str">
        <f>IF(ISERROR(H47-H46),"n/a",IF(ISBLANK(E46), H46-H45,H47-H46))</f>
        <v>n/a</v>
      </c>
      <c r="N67" s="65" t="str">
        <f>IF(ISERROR(H47-H46),"n/a",IF(ISBLANK(E46), H47-H46,H46-H45))</f>
        <v>n/a</v>
      </c>
      <c r="O67" s="94"/>
      <c r="Q67" s="481"/>
      <c r="R67" s="481"/>
      <c r="S67" s="481"/>
      <c r="T67" s="481"/>
    </row>
    <row r="68" spans="1:20" ht="13" x14ac:dyDescent="0.3">
      <c r="B68" s="92"/>
      <c r="C68" s="8"/>
      <c r="D68" s="25"/>
      <c r="E68" s="26"/>
      <c r="F68" s="26"/>
      <c r="G68" s="26"/>
      <c r="H68" s="26"/>
      <c r="I68" s="27"/>
      <c r="J68" s="27"/>
      <c r="K68" s="27"/>
      <c r="L68" s="8"/>
      <c r="M68" s="98"/>
      <c r="N68" s="8"/>
      <c r="O68" s="94"/>
      <c r="Q68" s="481"/>
      <c r="R68" s="481"/>
      <c r="S68" s="481"/>
      <c r="T68" s="481"/>
    </row>
    <row r="69" spans="1:20" ht="13.5" thickBot="1" x14ac:dyDescent="0.35">
      <c r="A69" s="94"/>
      <c r="B69" s="92"/>
      <c r="C69" s="99" t="s">
        <v>40</v>
      </c>
      <c r="D69" s="8"/>
      <c r="E69" s="8"/>
      <c r="F69" s="8"/>
      <c r="G69" s="27"/>
      <c r="H69" s="366"/>
      <c r="I69" s="366" t="s">
        <v>18</v>
      </c>
      <c r="J69" s="366"/>
      <c r="K69" s="366"/>
      <c r="L69" s="100"/>
      <c r="M69" s="98"/>
      <c r="N69" s="27"/>
      <c r="O69" s="94"/>
      <c r="Q69" s="481"/>
      <c r="R69" s="481"/>
      <c r="S69" s="481"/>
      <c r="T69" s="481"/>
    </row>
    <row r="70" spans="1:20" ht="13" x14ac:dyDescent="0.3">
      <c r="B70" s="92"/>
      <c r="C70" s="57" t="s">
        <v>39</v>
      </c>
      <c r="D70" s="58"/>
      <c r="E70" s="61" t="e">
        <f>SUM(G53:G67)/COUNTIF(G53:G67,"&gt;0")</f>
        <v>#DIV/0!</v>
      </c>
      <c r="F70" s="52" t="s">
        <v>4</v>
      </c>
      <c r="G70" s="27"/>
      <c r="H70" s="7" t="str">
        <f>IF(D8="y","Avg Vol at Start of Fill","Avg Min Water Level")</f>
        <v>Avg Min Water Level</v>
      </c>
      <c r="I70" s="38"/>
      <c r="J70" s="35" t="e">
        <f>IF('Tank Summary'!K16="n","",SUM(D53:D67)/SUM(B53:B67))</f>
        <v>#DIV/0!</v>
      </c>
      <c r="K70" s="15" t="str">
        <f>IF(D8="y","gal","ft")</f>
        <v>ft</v>
      </c>
      <c r="L70" s="8"/>
      <c r="M70" s="8"/>
      <c r="N70" s="98"/>
      <c r="O70" s="94"/>
      <c r="Q70" s="481"/>
      <c r="R70" s="481"/>
      <c r="S70" s="481"/>
      <c r="T70" s="481"/>
    </row>
    <row r="71" spans="1:20" ht="13" x14ac:dyDescent="0.3">
      <c r="B71" s="92"/>
      <c r="C71" s="4" t="s">
        <v>43</v>
      </c>
      <c r="D71" s="55"/>
      <c r="E71" s="2" t="e">
        <f>SUM(H53:H67)/COUNTIF(H53:H67,"&gt;0")</f>
        <v>#DIV/0!</v>
      </c>
      <c r="F71" s="5" t="s">
        <v>5</v>
      </c>
      <c r="G71" s="8"/>
      <c r="H71" s="39" t="s">
        <v>55</v>
      </c>
      <c r="I71" s="37"/>
      <c r="J71" s="36" t="e">
        <f>IF('Tank Summary'!K16="n","",AVERAGE(J53:J67))</f>
        <v>#VALUE!</v>
      </c>
      <c r="K71" s="16"/>
      <c r="L71" s="8"/>
      <c r="M71" s="8"/>
      <c r="N71" s="8"/>
      <c r="O71" s="94"/>
    </row>
    <row r="72" spans="1:20" ht="13" x14ac:dyDescent="0.3">
      <c r="B72" s="92"/>
      <c r="C72" s="39" t="s">
        <v>36</v>
      </c>
      <c r="D72" s="63"/>
      <c r="E72" s="130" t="e">
        <f>AVERAGE(M53:M67)</f>
        <v>#DIV/0!</v>
      </c>
      <c r="F72" s="16" t="s">
        <v>2</v>
      </c>
      <c r="G72" s="8"/>
      <c r="H72" s="39" t="s">
        <v>56</v>
      </c>
      <c r="I72" s="37"/>
      <c r="J72" s="36" t="e">
        <f>IF('Tank Summary'!K16="n","",AVERAGE(L53:L67))</f>
        <v>#VALUE!</v>
      </c>
      <c r="K72" s="16"/>
      <c r="L72" s="8"/>
      <c r="M72" s="8"/>
      <c r="N72" s="8"/>
      <c r="O72" s="94"/>
    </row>
    <row r="73" spans="1:20" ht="13" x14ac:dyDescent="0.3">
      <c r="B73" s="92"/>
      <c r="C73" s="39" t="s">
        <v>37</v>
      </c>
      <c r="D73" s="63"/>
      <c r="E73" s="131" t="e">
        <f>AVERAGE(N53:N67)</f>
        <v>#DIV/0!</v>
      </c>
      <c r="F73" s="62" t="s">
        <v>2</v>
      </c>
      <c r="G73" s="8"/>
      <c r="H73" s="39" t="str">
        <f>IF(D8="y","Avg Measured Vol Change","Avg Measured Water Level Change")</f>
        <v>Avg Measured Water Level Change</v>
      </c>
      <c r="I73" s="37"/>
      <c r="J73" s="83" t="e">
        <f>IF('Tank Summary'!K16="n","",(SUM(E53:E67)/SUM(B53:B67))-J70)</f>
        <v>#DIV/0!</v>
      </c>
      <c r="K73" s="16" t="str">
        <f>IF(D8="y","gal","ft")</f>
        <v>ft</v>
      </c>
      <c r="L73" s="8"/>
      <c r="M73" s="8"/>
      <c r="N73" s="8"/>
      <c r="O73" s="94"/>
    </row>
    <row r="74" spans="1:20" ht="24.75" customHeight="1" x14ac:dyDescent="0.3">
      <c r="B74" s="92"/>
      <c r="C74" s="39" t="s">
        <v>28</v>
      </c>
      <c r="D74" s="63"/>
      <c r="E74" s="34" t="e">
        <f>E70*10^6/(E72*24*60)</f>
        <v>#DIV/0!</v>
      </c>
      <c r="F74" s="41" t="s">
        <v>26</v>
      </c>
      <c r="G74" s="8"/>
      <c r="H74" s="505" t="str">
        <f>IF(D8="y","Desired Vol Change Needed for Good Mixing","Desired Water Level Change Needed for Good Mixing")</f>
        <v>Desired Water Level Change Needed for Good Mixing</v>
      </c>
      <c r="I74" s="506"/>
      <c r="J74" s="45" t="e">
        <f>IF('Tank Summary'!K16="n","",$J$70*J72)</f>
        <v>#DIV/0!</v>
      </c>
      <c r="K74" s="43" t="str">
        <f>IF(D8="y","gal","ft")</f>
        <v>ft</v>
      </c>
      <c r="L74" s="8"/>
      <c r="M74" s="8"/>
      <c r="N74" s="8"/>
      <c r="O74" s="94"/>
    </row>
    <row r="75" spans="1:20" ht="24.75" customHeight="1" x14ac:dyDescent="0.3">
      <c r="B75" s="92"/>
      <c r="C75" s="39" t="s">
        <v>29</v>
      </c>
      <c r="D75" s="63"/>
      <c r="E75" s="34" t="e">
        <f>E71*10^6/(E73*24*60)</f>
        <v>#DIV/0!</v>
      </c>
      <c r="F75" s="41" t="s">
        <v>26</v>
      </c>
      <c r="G75" s="8"/>
      <c r="H75" s="39" t="s">
        <v>57</v>
      </c>
      <c r="I75" s="432"/>
      <c r="J75" s="160" t="e">
        <f>IF('Tank Summary'!K16="n","",J73/J74)</f>
        <v>#DIV/0!</v>
      </c>
      <c r="K75" s="5"/>
      <c r="L75" s="8"/>
      <c r="M75" s="8"/>
      <c r="N75" s="8"/>
      <c r="O75" s="94"/>
    </row>
    <row r="76" spans="1:20" ht="27" customHeight="1" thickBot="1" x14ac:dyDescent="0.35">
      <c r="B76" s="92"/>
      <c r="C76" s="59" t="s">
        <v>38</v>
      </c>
      <c r="D76" s="60"/>
      <c r="E76" s="64" t="e">
        <f>E72+E73</f>
        <v>#DIV/0!</v>
      </c>
      <c r="F76" s="24" t="s">
        <v>2</v>
      </c>
      <c r="G76" s="8"/>
      <c r="H76" s="42" t="s">
        <v>54</v>
      </c>
      <c r="I76" s="431"/>
      <c r="J76" s="44" t="e">
        <f>IF('Tank Summary'!K16="n","",(((((SUM(F53:F67)/SUM(B53:B67))*10^6/7.48)^(1/3))*$J$71)/9)*12)</f>
        <v>#DIV/0!</v>
      </c>
      <c r="K76" s="3" t="s">
        <v>31</v>
      </c>
      <c r="L76" s="8"/>
      <c r="M76" s="8"/>
      <c r="N76" s="8"/>
      <c r="O76" s="94"/>
    </row>
    <row r="77" spans="1:20" ht="14.25" customHeight="1" x14ac:dyDescent="0.3">
      <c r="B77" s="92"/>
      <c r="C77" s="39" t="s">
        <v>53</v>
      </c>
      <c r="D77" s="56"/>
      <c r="E77" s="36" t="e">
        <f>E70/E76</f>
        <v>#DIV/0!</v>
      </c>
      <c r="F77" s="5" t="s">
        <v>3</v>
      </c>
      <c r="G77" s="8"/>
      <c r="H77" s="8"/>
      <c r="I77" s="507" t="str">
        <f>IF('Tank Summary'!P26="no","The tank mixing equations are not applicable.",IF(J73&lt;J74,"Mixing is at an undesirable level, use Mixing Analysis (Section II) to determine strategies that will increase mixing.","Mixing is at a desired level."))</f>
        <v>The tank mixing equations are not applicable.</v>
      </c>
      <c r="J77" s="507"/>
      <c r="K77" s="507"/>
      <c r="L77" s="508"/>
      <c r="M77" s="8"/>
      <c r="N77" s="8"/>
      <c r="O77" s="94"/>
    </row>
    <row r="78" spans="1:20" ht="13" x14ac:dyDescent="0.3">
      <c r="B78" s="92"/>
      <c r="C78" s="39" t="s">
        <v>44</v>
      </c>
      <c r="D78" s="56"/>
      <c r="E78" s="36" t="e">
        <f>AVERAGE(I53:I67)</f>
        <v>#DIV/0!</v>
      </c>
      <c r="F78" s="5" t="s">
        <v>5</v>
      </c>
      <c r="G78" s="8"/>
      <c r="H78" s="8"/>
      <c r="I78" s="508"/>
      <c r="J78" s="508"/>
      <c r="K78" s="508"/>
      <c r="L78" s="508"/>
      <c r="M78" s="8"/>
      <c r="N78" s="8"/>
      <c r="O78" s="94"/>
    </row>
    <row r="79" spans="1:20" ht="13.5" thickBot="1" x14ac:dyDescent="0.35">
      <c r="B79" s="92"/>
      <c r="C79" s="42" t="s">
        <v>8</v>
      </c>
      <c r="D79" s="40"/>
      <c r="E79" s="54" t="e">
        <f>E78/E77</f>
        <v>#DIV/0!</v>
      </c>
      <c r="F79" s="6" t="s">
        <v>2</v>
      </c>
      <c r="G79" s="8"/>
      <c r="H79" s="8"/>
      <c r="I79" s="508"/>
      <c r="J79" s="508"/>
      <c r="K79" s="508"/>
      <c r="L79" s="508"/>
      <c r="M79" s="8"/>
      <c r="N79" s="8"/>
      <c r="O79" s="94"/>
    </row>
    <row r="80" spans="1:20" ht="12.75" customHeight="1" x14ac:dyDescent="0.3">
      <c r="B80" s="92"/>
      <c r="C80" s="93"/>
      <c r="D80" s="503" t="e">
        <f>IF(E79&gt;5, "Turnover time is at an undesirable level, use Turnover Time Analysis (Step 2) to determine operational strategies that will reduce turnover time.","Turnover Time is at a desired level.")</f>
        <v>#DIV/0!</v>
      </c>
      <c r="E80" s="503"/>
      <c r="F80" s="503"/>
      <c r="G80" s="8"/>
      <c r="H80" s="126"/>
      <c r="I80" s="508"/>
      <c r="J80" s="508"/>
      <c r="K80" s="508"/>
      <c r="L80" s="508"/>
      <c r="M80" s="8"/>
      <c r="N80" s="8"/>
      <c r="O80" s="94"/>
    </row>
    <row r="81" spans="2:15" ht="11.25" customHeight="1" x14ac:dyDescent="0.3">
      <c r="B81" s="92"/>
      <c r="C81" s="8"/>
      <c r="D81" s="504"/>
      <c r="E81" s="504"/>
      <c r="F81" s="504"/>
      <c r="G81" s="8"/>
      <c r="H81" s="126"/>
      <c r="I81" s="82"/>
      <c r="J81" s="82"/>
      <c r="K81" s="82"/>
      <c r="L81" s="82"/>
      <c r="M81" s="8"/>
      <c r="N81" s="8"/>
      <c r="O81" s="94"/>
    </row>
    <row r="82" spans="2:15" ht="12.75" customHeight="1" x14ac:dyDescent="0.25">
      <c r="B82" s="92"/>
      <c r="C82" s="8"/>
      <c r="D82" s="504"/>
      <c r="E82" s="504"/>
      <c r="F82" s="504"/>
      <c r="G82" s="8"/>
      <c r="H82" s="8"/>
      <c r="I82" s="8"/>
      <c r="J82" s="29"/>
      <c r="K82" s="29"/>
      <c r="L82" s="8"/>
      <c r="M82" s="8"/>
      <c r="N82" s="8"/>
      <c r="O82" s="94"/>
    </row>
    <row r="83" spans="2:15" ht="16.5" customHeight="1" x14ac:dyDescent="0.25">
      <c r="B83" s="92"/>
      <c r="C83" s="8"/>
      <c r="D83" s="504"/>
      <c r="E83" s="504"/>
      <c r="F83" s="504"/>
      <c r="G83" s="8"/>
      <c r="H83" s="8"/>
      <c r="I83" s="8"/>
      <c r="J83" s="29"/>
      <c r="K83" s="29"/>
      <c r="L83" s="8"/>
      <c r="M83" s="8"/>
      <c r="N83" s="8"/>
      <c r="O83" s="94"/>
    </row>
    <row r="84" spans="2:15" ht="13" thickBot="1" x14ac:dyDescent="0.3">
      <c r="B84" s="101"/>
      <c r="C84" s="102"/>
      <c r="D84" s="102"/>
      <c r="E84" s="102"/>
      <c r="F84" s="102"/>
      <c r="G84" s="102"/>
      <c r="H84" s="102"/>
      <c r="I84" s="102"/>
      <c r="J84" s="102"/>
      <c r="K84" s="102"/>
      <c r="L84" s="102"/>
      <c r="M84" s="102"/>
      <c r="N84" s="102"/>
      <c r="O84" s="103"/>
    </row>
    <row r="85" spans="2:15" ht="18.5" thickBot="1" x14ac:dyDescent="0.45">
      <c r="B85" s="116" t="s">
        <v>188</v>
      </c>
      <c r="C85" s="111"/>
      <c r="D85" s="111"/>
      <c r="E85" s="120"/>
      <c r="F85" s="121"/>
      <c r="G85" s="111"/>
      <c r="H85" s="111"/>
      <c r="I85" s="111"/>
      <c r="J85" s="111"/>
      <c r="K85" s="111"/>
      <c r="L85" s="118"/>
      <c r="M85" s="118"/>
      <c r="N85" s="118"/>
      <c r="O85" s="119"/>
    </row>
    <row r="86" spans="2:15" x14ac:dyDescent="0.25">
      <c r="B86" s="92"/>
      <c r="C86" s="29"/>
      <c r="D86" s="29"/>
      <c r="E86" s="29"/>
      <c r="F86" s="29"/>
      <c r="G86" s="29"/>
      <c r="H86" s="29"/>
      <c r="I86" s="29"/>
      <c r="J86" s="29"/>
      <c r="K86" s="29"/>
      <c r="L86" s="8"/>
      <c r="M86" s="8"/>
      <c r="N86" s="8"/>
      <c r="O86" s="94"/>
    </row>
    <row r="87" spans="2:15" ht="13" x14ac:dyDescent="0.3">
      <c r="B87" s="92"/>
      <c r="C87" s="95" t="s">
        <v>65</v>
      </c>
      <c r="D87" s="29"/>
      <c r="E87" s="29"/>
      <c r="F87" s="29"/>
      <c r="G87" s="29"/>
      <c r="H87" s="29"/>
      <c r="I87" s="29"/>
      <c r="J87" s="29"/>
      <c r="K87" s="29"/>
      <c r="L87" s="8"/>
      <c r="M87" s="8"/>
      <c r="N87" s="8"/>
      <c r="O87" s="94"/>
    </row>
    <row r="88" spans="2:15" ht="13" x14ac:dyDescent="0.3">
      <c r="B88" s="92"/>
      <c r="C88" s="95" t="s">
        <v>207</v>
      </c>
      <c r="D88" s="29"/>
      <c r="E88" s="29"/>
      <c r="F88" s="29"/>
      <c r="G88" s="29"/>
      <c r="H88" s="29"/>
      <c r="I88" s="29"/>
      <c r="J88" s="29"/>
      <c r="K88" s="29"/>
      <c r="L88" s="8"/>
      <c r="M88" s="8"/>
      <c r="N88" s="8"/>
      <c r="O88" s="94"/>
    </row>
    <row r="89" spans="2:15" ht="13" x14ac:dyDescent="0.3">
      <c r="B89" s="92"/>
      <c r="C89" s="95"/>
      <c r="D89" s="29"/>
      <c r="E89" s="29"/>
      <c r="F89" s="29"/>
      <c r="G89" s="29"/>
      <c r="H89" s="29"/>
      <c r="I89" s="29"/>
      <c r="J89" s="29"/>
      <c r="K89" s="29"/>
      <c r="L89" s="8"/>
      <c r="M89" s="8"/>
      <c r="N89" s="8"/>
      <c r="O89" s="94"/>
    </row>
    <row r="90" spans="2:15" ht="13" x14ac:dyDescent="0.3">
      <c r="B90" s="92"/>
      <c r="C90" s="95" t="s">
        <v>77</v>
      </c>
      <c r="D90" s="29"/>
      <c r="E90" s="29"/>
      <c r="F90" s="29"/>
      <c r="G90" s="29"/>
      <c r="H90" s="29"/>
      <c r="I90" s="29"/>
      <c r="J90" s="29"/>
      <c r="K90" s="29"/>
      <c r="L90" s="8"/>
      <c r="M90" s="8"/>
      <c r="N90" s="8"/>
      <c r="O90" s="94"/>
    </row>
    <row r="91" spans="2:15" ht="13" x14ac:dyDescent="0.3">
      <c r="B91" s="92"/>
      <c r="C91" s="344" t="s">
        <v>294</v>
      </c>
      <c r="D91" s="488"/>
      <c r="E91" s="488"/>
      <c r="F91" s="488"/>
      <c r="G91" s="488"/>
      <c r="H91" s="29"/>
      <c r="I91" s="29"/>
      <c r="J91" s="29"/>
      <c r="K91" s="29"/>
      <c r="L91" s="8"/>
      <c r="M91" s="8"/>
      <c r="N91" s="8"/>
      <c r="O91" s="94"/>
    </row>
    <row r="92" spans="2:15" ht="13" x14ac:dyDescent="0.3">
      <c r="B92" s="92"/>
      <c r="C92" s="95"/>
      <c r="D92" s="29"/>
      <c r="E92" s="29"/>
      <c r="F92" s="29"/>
      <c r="G92" s="29"/>
      <c r="H92" s="29"/>
      <c r="I92" s="29"/>
      <c r="J92" s="29"/>
      <c r="K92" s="29"/>
      <c r="L92" s="8"/>
      <c r="M92" s="8"/>
      <c r="N92" s="8"/>
      <c r="O92" s="94"/>
    </row>
    <row r="93" spans="2:15" ht="13" x14ac:dyDescent="0.3">
      <c r="B93" s="92"/>
      <c r="C93" s="95" t="s">
        <v>280</v>
      </c>
      <c r="D93" s="29"/>
      <c r="E93" s="29"/>
      <c r="F93" s="29"/>
      <c r="G93" s="29"/>
      <c r="H93" s="29"/>
      <c r="I93" s="29"/>
      <c r="J93" s="29"/>
      <c r="K93" s="29"/>
      <c r="L93" s="8"/>
      <c r="M93" s="8"/>
      <c r="N93" s="8"/>
      <c r="O93" s="94"/>
    </row>
    <row r="94" spans="2:15" ht="13" x14ac:dyDescent="0.3">
      <c r="B94" s="92"/>
      <c r="C94" s="95"/>
      <c r="D94" s="29"/>
      <c r="E94" s="29"/>
      <c r="F94" s="29"/>
      <c r="G94" s="29"/>
      <c r="H94" s="29"/>
      <c r="I94" s="29"/>
      <c r="J94" s="29"/>
      <c r="K94" s="29"/>
      <c r="L94" s="8"/>
      <c r="M94" s="8"/>
      <c r="N94" s="8"/>
      <c r="O94" s="94"/>
    </row>
    <row r="95" spans="2:15" ht="13" x14ac:dyDescent="0.3">
      <c r="B95" s="92"/>
      <c r="C95" s="29"/>
      <c r="D95" s="133" t="s">
        <v>27</v>
      </c>
      <c r="E95" s="81" t="s">
        <v>45</v>
      </c>
      <c r="F95" s="81" t="s">
        <v>46</v>
      </c>
      <c r="G95" s="81" t="s">
        <v>47</v>
      </c>
      <c r="H95" s="81" t="s">
        <v>48</v>
      </c>
      <c r="I95" s="81" t="s">
        <v>49</v>
      </c>
      <c r="J95" s="29"/>
      <c r="K95" s="29"/>
      <c r="L95" s="8"/>
      <c r="M95" s="8"/>
      <c r="N95" s="8"/>
      <c r="O95" s="94"/>
    </row>
    <row r="96" spans="2:15" ht="13" x14ac:dyDescent="0.3">
      <c r="B96" s="92"/>
      <c r="C96" s="122" t="str">
        <f>IF(OR($D$7="c",D7="h"), "Tank diameter", IF($D$7="r","Longest Sidewall Length",""))</f>
        <v/>
      </c>
      <c r="D96" s="31">
        <f>'Tank#5'!D10</f>
        <v>0</v>
      </c>
      <c r="E96" s="66">
        <f>$D$96</f>
        <v>0</v>
      </c>
      <c r="F96" s="66">
        <f>$D$96</f>
        <v>0</v>
      </c>
      <c r="G96" s="66">
        <f>$D$96</f>
        <v>0</v>
      </c>
      <c r="H96" s="66">
        <f>$D$96</f>
        <v>0</v>
      </c>
      <c r="I96" s="66">
        <f>$D$96</f>
        <v>0</v>
      </c>
      <c r="J96" s="95" t="str">
        <f>IF(D8="y","","ft")</f>
        <v>ft</v>
      </c>
      <c r="K96" s="95"/>
      <c r="L96" s="8"/>
      <c r="M96" s="8"/>
      <c r="N96" s="8"/>
      <c r="O96" s="94"/>
    </row>
    <row r="97" spans="2:15" ht="13" x14ac:dyDescent="0.3">
      <c r="B97" s="92"/>
      <c r="C97" s="95" t="str">
        <f>IF(OR($D$7="c",D7="h"),"",IF($D$7="r","Shortest Sidewall Length",""))</f>
        <v/>
      </c>
      <c r="D97" s="33">
        <f>'Tank#5'!D11</f>
        <v>0</v>
      </c>
      <c r="E97" s="66">
        <f>$D$97</f>
        <v>0</v>
      </c>
      <c r="F97" s="66">
        <f>$D$97</f>
        <v>0</v>
      </c>
      <c r="G97" s="66">
        <f>$D$97</f>
        <v>0</v>
      </c>
      <c r="H97" s="66">
        <f>$D$97</f>
        <v>0</v>
      </c>
      <c r="I97" s="66">
        <f>$D$97</f>
        <v>0</v>
      </c>
      <c r="J97" s="95" t="str">
        <f>IF(D8="y","","ft")</f>
        <v>ft</v>
      </c>
      <c r="K97" s="95"/>
      <c r="L97" s="8"/>
      <c r="M97" s="8"/>
      <c r="N97" s="8"/>
      <c r="O97" s="94"/>
    </row>
    <row r="98" spans="2:15" ht="13" x14ac:dyDescent="0.3">
      <c r="B98" s="92"/>
      <c r="C98" s="346" t="s">
        <v>30</v>
      </c>
      <c r="D98" s="124">
        <f>'Tank#5'!D13</f>
        <v>0</v>
      </c>
      <c r="E98" s="345"/>
      <c r="F98" s="345"/>
      <c r="G98" s="345"/>
      <c r="H98" s="345"/>
      <c r="I98" s="345"/>
      <c r="J98" s="95" t="s">
        <v>1</v>
      </c>
      <c r="K98" s="95"/>
      <c r="L98" s="8"/>
      <c r="M98" s="8"/>
      <c r="N98" s="8"/>
      <c r="O98" s="94"/>
    </row>
    <row r="99" spans="2:15" ht="13" x14ac:dyDescent="0.3">
      <c r="B99" s="92"/>
      <c r="C99" s="346" t="str">
        <f>IF(D8="y","Fraction Full (Max Level)","High/Max Level")</f>
        <v>High/Max Level</v>
      </c>
      <c r="D99" s="80" t="b">
        <f>IF(OR($D$7="c",$D$7="r",$D$7="h"),(SUM(E53:E67)/COUNTIF(E53:E67,"&gt;0")),IF($D$8="y",(SUM(E53:E67)/COUNTIF(E53:E67,"&gt;0"))/($D$6*10^6)))</f>
        <v>0</v>
      </c>
      <c r="E99" s="345"/>
      <c r="F99" s="345"/>
      <c r="G99" s="345"/>
      <c r="H99" s="345"/>
      <c r="I99" s="345"/>
      <c r="J99" s="95" t="str">
        <f>IF(D8="y","","ft")</f>
        <v>ft</v>
      </c>
      <c r="K99" s="95"/>
      <c r="L99" s="8"/>
      <c r="M99" s="8"/>
      <c r="N99" s="8"/>
      <c r="O99" s="94"/>
    </row>
    <row r="100" spans="2:15" ht="13" x14ac:dyDescent="0.3">
      <c r="B100" s="92"/>
      <c r="C100" s="346" t="str">
        <f>IF(D8="y","Fraction Full (Min Level)","Low/Min Level")</f>
        <v>Low/Min Level</v>
      </c>
      <c r="D100" s="80" t="b">
        <f>IF(OR($D$7="c",$D$7="r",$D$7="s",$D$7="h"),(SUM(D53:D67)/COUNTIF(D53:D67,"&gt;0")),IF($D$8="y",(SUM(D53:D67)/COUNTIF(D53:D67,"&gt;0"))/($D$6*10^6)))</f>
        <v>0</v>
      </c>
      <c r="E100" s="345"/>
      <c r="F100" s="345"/>
      <c r="G100" s="345"/>
      <c r="H100" s="345"/>
      <c r="I100" s="345"/>
      <c r="J100" s="95" t="str">
        <f>IF(D8="y","","ft")</f>
        <v>ft</v>
      </c>
      <c r="K100" s="95"/>
      <c r="L100" s="8"/>
      <c r="M100" s="8"/>
      <c r="N100" s="8"/>
      <c r="O100" s="94"/>
    </row>
    <row r="101" spans="2:15" ht="15.5" x14ac:dyDescent="0.35">
      <c r="B101" s="92"/>
      <c r="C101" s="125" t="str">
        <f>IF(OR(D7="c", D7="r",D7="h"),"H/D ratio","")</f>
        <v/>
      </c>
      <c r="D101" s="490" t="str">
        <f t="shared" ref="D101:I101" si="10">IF(OR($D$7="c", $D$7="r",$D$7="h"),D99/D96,"")</f>
        <v/>
      </c>
      <c r="E101" s="124" t="str">
        <f t="shared" si="10"/>
        <v/>
      </c>
      <c r="F101" s="124" t="str">
        <f t="shared" si="10"/>
        <v/>
      </c>
      <c r="G101" s="124" t="str">
        <f t="shared" si="10"/>
        <v/>
      </c>
      <c r="H101" s="124" t="str">
        <f t="shared" si="10"/>
        <v/>
      </c>
      <c r="I101" s="124" t="str">
        <f t="shared" si="10"/>
        <v/>
      </c>
      <c r="J101" s="134"/>
      <c r="K101" s="148"/>
      <c r="L101" s="8"/>
      <c r="M101" s="8"/>
      <c r="N101" s="8"/>
      <c r="O101" s="94"/>
    </row>
    <row r="102" spans="2:15" ht="13" x14ac:dyDescent="0.3">
      <c r="B102" s="92"/>
      <c r="C102" s="123" t="str">
        <f>IF(D8="y","Actual Vol Change","Actual Level Change")</f>
        <v>Actual Level Change</v>
      </c>
      <c r="D102" s="124" t="e">
        <f>'Tank#5'!J73</f>
        <v>#DIV/0!</v>
      </c>
      <c r="E102" s="80" t="str">
        <f>IF(OR($D$7="c",$D$7="h",$D$7="r"),E99-E100,IF($D$8="y",($D$6*10^6)*(E99-E100),""))</f>
        <v/>
      </c>
      <c r="F102" s="80" t="str">
        <f>IF(OR($D$7="c",$D$7="h",$D$7="r"),F99-F100,IF($D$8="y",($D$6*10^6)*(F99-F100),""))</f>
        <v/>
      </c>
      <c r="G102" s="80" t="str">
        <f>IF(OR($D$7="c",$D$7="h",$D$7="r"),G99-G100,IF($D$8="y",($D$6*10^6)*(G99-G100),""))</f>
        <v/>
      </c>
      <c r="H102" s="80" t="str">
        <f>IF(OR($D$7="c",$D$7="h",$D$7="r"),H99-H100,IF($D$8="y",($D$6*10^6)*(H99-H100),""))</f>
        <v/>
      </c>
      <c r="I102" s="80" t="str">
        <f>IF(OR($D$7="c",$D$7="h",$D$7="r"),I99-I100,IF($D$8="y",($D$6*10^6)*(I99-I100),""))</f>
        <v/>
      </c>
      <c r="J102" s="95" t="str">
        <f>IF(OR(D7="c",D7="r"),"ft",IF(AND(D7="n",D8="y"),"gal",""))</f>
        <v/>
      </c>
      <c r="K102" s="95"/>
      <c r="L102" s="8"/>
      <c r="M102" s="8"/>
      <c r="N102" s="8"/>
      <c r="O102" s="94"/>
    </row>
    <row r="103" spans="2:15" ht="13" x14ac:dyDescent="0.3">
      <c r="B103" s="92"/>
      <c r="C103" s="123" t="s">
        <v>94</v>
      </c>
      <c r="D103" s="494" t="e">
        <f>IF('Tank Summary'!$K$16="y",IF((D99/$D$10)&lt;=1,10.2,(3.58*(D99/$D$10)+6.66)),"Tank mixing equations do not apply")</f>
        <v>#DIV/0!</v>
      </c>
      <c r="E103" s="494" t="e">
        <f>IF('Tank Summary'!$K$16="y",IF((E99/$D$10)&lt;=1,10.2,(3.58*(E99/$D$10)+6.66)),"Tank mixing equations do not apply")</f>
        <v>#DIV/0!</v>
      </c>
      <c r="F103" s="494" t="e">
        <f>IF('Tank Summary'!$K$16="y",IF((F99/$D$10)&lt;=1,10.2,(3.58*(F99/$D$10)+6.66)),"Tank mixing equations do not apply")</f>
        <v>#DIV/0!</v>
      </c>
      <c r="G103" s="494" t="e">
        <f>IF('Tank Summary'!$K$16="y",IF((G99/$D$10)&lt;=1,10.2,(3.58*(G99/$D$10)+6.66)),"Tank mixing equations do not apply")</f>
        <v>#DIV/0!</v>
      </c>
      <c r="H103" s="494" t="e">
        <f>IF('Tank Summary'!$K$16="y",IF((H99/$D$10)&lt;=1,10.2,(3.58*(H99/$D$10)+6.66)),"Tank mixing equations do not apply")</f>
        <v>#DIV/0!</v>
      </c>
      <c r="I103" s="494" t="e">
        <f>IF('Tank Summary'!$K$16="y",IF((I99/$D$10)&lt;=1,10.2,(3.58*(I99/$D$10)+6.66)),"Tank mixing equations do not apply")</f>
        <v>#DIV/0!</v>
      </c>
      <c r="J103" s="95"/>
      <c r="K103" s="95"/>
      <c r="L103" s="8"/>
      <c r="M103" s="8"/>
      <c r="N103" s="8"/>
      <c r="O103" s="94"/>
    </row>
    <row r="104" spans="2:15" ht="26" x14ac:dyDescent="0.3">
      <c r="B104" s="92"/>
      <c r="C104" s="123" t="str">
        <f>IF(D8="y","Desired Vol Change Needed for Good Mixing","Desired Level Change Needed for Good Mixing")</f>
        <v>Desired Level Change Needed for Good Mixing</v>
      </c>
      <c r="D104" s="124" t="e">
        <f>'Tank#5'!J74</f>
        <v>#DIV/0!</v>
      </c>
      <c r="E104" s="80" t="str">
        <f>IF(OR($D$7="c",$D$7="h"),(((E103/1.13)*E98)/((E100*PI()*(E96/2)^2)^(1/3)))*E100,IF($D$7="r",(((E103/1.13)*E98)/((E100*E96*E97)^(1/3)))*E100,IF($D$8="y",(((E103/1.13)*E98)/(((E100*$D$6*10^6)/7.480519)^(1/3)))*(E100*$D$6*10^6),"")))</f>
        <v/>
      </c>
      <c r="F104" s="80" t="str">
        <f>IF(OR($D$7="c",$D$7="h"),(((F103/1.13)*F98)/((F100*PI()*(F96/2)^2)^(1/3)))*F100,IF($D$7="r",(((F103/1.13)*F98)/((F100*F96*F97)^(1/3)))*F100,IF($D$8="y",(((F103/1.13)*F98)/(((F100*$D$6*10^6)/7.480519)^(1/3)))*(F100*$D$6*10^6),"")))</f>
        <v/>
      </c>
      <c r="G104" s="80" t="str">
        <f>IF(OR($D$7="c",$D$7="h"),(((G103/1.13)*G98)/((G100*PI()*(G96/2)^2)^(1/3)))*G100,IF($D$7="r",(((G103/1.13)*G98)/((G100*G96*G97)^(1/3)))*G100,IF($D$8="y",(((G103/1.13)*G98)/(((G100*$D$6*10^6)/7.480519)^(1/3)))*(G100*$D$6*10^6),"")))</f>
        <v/>
      </c>
      <c r="H104" s="80" t="str">
        <f>IF(OR($D$7="c",$D$7="h"),(((H103/1.13)*H98)/((H100*PI()*(H96/2)^2)^(1/3)))*H100,IF($D$7="r",(((H103/1.13)*H98)/((H100*H96*H97)^(1/3)))*H100,IF($D$8="y",(((H103/1.13)*H98)/(((H100*$D$6*10^6)/7.480519)^(1/3)))*(H100*$D$6*10^6),"")))</f>
        <v/>
      </c>
      <c r="I104" s="80" t="str">
        <f>IF(OR($D$7="c",$D$7="h"),(((I103/1.13)*I98)/((I100*PI()*(I96/2)^2)^(1/3)))*I100,IF($D$7="r",(((I103/1.13)*I98)/((I100*I96*I97)^(1/3)))*I100,IF($D$8="y",(((I103/1.13)*I98)/(((I100*$D$6*10^6)/7.480519)^(1/3)))*(I100*$D$6*10^6),"")))</f>
        <v/>
      </c>
      <c r="J104" s="95" t="str">
        <f>IF(OR(D7="c",D7="r"),"ft",IF(AND(D7="n",D8="y"),"gal",""))</f>
        <v/>
      </c>
      <c r="K104" s="95"/>
      <c r="L104" s="8"/>
      <c r="M104" s="8"/>
      <c r="N104" s="8"/>
      <c r="O104" s="94"/>
    </row>
    <row r="105" spans="2:15" ht="39" customHeight="1" x14ac:dyDescent="0.3">
      <c r="B105" s="92"/>
      <c r="C105" s="105" t="str">
        <f>IF(D8="y","","Pressure Drop After Change in Min Water Level")</f>
        <v>Pressure Drop After Change in Min Water Level</v>
      </c>
      <c r="D105" s="12"/>
      <c r="E105" s="12">
        <f>IF($D$8="y","",($D$100-E100)/2.31)</f>
        <v>0</v>
      </c>
      <c r="F105" s="12">
        <f>IF($D$8="y","",($D$100-F100)/2.31)</f>
        <v>0</v>
      </c>
      <c r="G105" s="12">
        <f>IF($D$8="y","",($D$100-G100)/2.31)</f>
        <v>0</v>
      </c>
      <c r="H105" s="12">
        <f>IF($D$8="y","",($D$100-H100)/2.31)</f>
        <v>0</v>
      </c>
      <c r="I105" s="12">
        <f>IF($D$8="y","",($D$100-I100)/2.31)</f>
        <v>0</v>
      </c>
      <c r="J105" s="95" t="str">
        <f>IF(OR(D7="c",D7="r",D7="h"),"psi",IF(AND(D7="n",D8="y"),"",""))</f>
        <v/>
      </c>
      <c r="K105" s="95"/>
      <c r="L105" s="8"/>
      <c r="M105" s="8"/>
      <c r="N105" s="8"/>
      <c r="O105" s="94"/>
    </row>
    <row r="106" spans="2:15" ht="13" x14ac:dyDescent="0.3">
      <c r="B106" s="92"/>
      <c r="C106" s="123" t="s">
        <v>287</v>
      </c>
      <c r="D106" s="33" t="e">
        <f>'Tank#5'!E74</f>
        <v>#DIV/0!</v>
      </c>
      <c r="E106" s="33" t="e">
        <f>D106</f>
        <v>#DIV/0!</v>
      </c>
      <c r="F106" s="33" t="e">
        <f>E106</f>
        <v>#DIV/0!</v>
      </c>
      <c r="G106" s="33" t="e">
        <f>F106</f>
        <v>#DIV/0!</v>
      </c>
      <c r="H106" s="159" t="e">
        <f>G106</f>
        <v>#DIV/0!</v>
      </c>
      <c r="I106" s="159" t="e">
        <f>H106</f>
        <v>#DIV/0!</v>
      </c>
      <c r="J106" s="95" t="s">
        <v>26</v>
      </c>
      <c r="K106" s="95"/>
      <c r="L106" s="8"/>
      <c r="M106" s="8"/>
      <c r="N106" s="8"/>
      <c r="O106" s="94"/>
    </row>
    <row r="107" spans="2:15" ht="26" x14ac:dyDescent="0.3">
      <c r="B107" s="92"/>
      <c r="C107" s="105" t="s">
        <v>286</v>
      </c>
      <c r="D107" s="33" t="e">
        <f>'Tank#5'!E75</f>
        <v>#DIV/0!</v>
      </c>
      <c r="E107" s="33" t="e">
        <f>D107</f>
        <v>#DIV/0!</v>
      </c>
      <c r="F107" s="33" t="e">
        <f>D107</f>
        <v>#DIV/0!</v>
      </c>
      <c r="G107" s="33" t="e">
        <f>D107</f>
        <v>#DIV/0!</v>
      </c>
      <c r="H107" s="159" t="e">
        <f>D107</f>
        <v>#DIV/0!</v>
      </c>
      <c r="I107" s="159" t="e">
        <f>D107</f>
        <v>#DIV/0!</v>
      </c>
      <c r="J107" s="95" t="s">
        <v>26</v>
      </c>
      <c r="K107" s="95"/>
      <c r="L107" s="8"/>
      <c r="M107" s="8"/>
      <c r="N107" s="8"/>
      <c r="O107" s="94"/>
    </row>
    <row r="108" spans="2:15" ht="13" x14ac:dyDescent="0.3">
      <c r="B108" s="92"/>
      <c r="C108" s="123" t="s">
        <v>36</v>
      </c>
      <c r="D108" s="11" t="e">
        <f>'Tank#5'!E72</f>
        <v>#DIV/0!</v>
      </c>
      <c r="E108" s="11" t="e">
        <f>ROUND(IF(OR($D$7="c",$D$7="h"),(E99-E100)*PI()*((E96/2)^2)*7.480519/(E106*24*60),IF($D$7="r",(E99-E100)*E96*E97*7.480519/(E106*24*60),IF($D$8="y",((E99*$D$6*10^6)-(E100*$D$6*10^6))/(E106*24*60),""))),2)</f>
        <v>#VALUE!</v>
      </c>
      <c r="F108" s="11" t="e">
        <f>ROUND(IF(OR($D$7="c",$D$7="h"),(F99-F100)*PI()*((F96/2)^2)*7.480519/(F106*24*60),IF($D$7="r",(F99-F100)*F96*F97*7.480519/(F106*24*60),IF($D$8="y",((F99*$D$6*10^6)-(F100*$D$6*10^6))/(F106*24*60),""))),2)</f>
        <v>#VALUE!</v>
      </c>
      <c r="G108" s="11" t="e">
        <f>ROUND(IF(OR($D$7="c",$D$7="h"),(G99-G100)*PI()*((G96/2)^2)*7.480519/(G106*24*60),IF($D$7="r",(G99-G100)*G96*G97*7.480519/(G106*24*60),IF($D$8="y",((G99*$D$6*10^6)-(G100*$D$6*10^6))/(G106*24*60),""))),2)</f>
        <v>#VALUE!</v>
      </c>
      <c r="H108" s="11" t="e">
        <f>ROUND(IF(OR($D$7="c",$D$7="h"),(H99-H100)*PI()*((H96/2)^2)*7.480519/(H106*24*60),IF($D$7="r",(H99-H100)*H96*H97*7.480519/(H106*24*60),IF($D$8="y",((H99*$D$6*10^6)-(H100*$D$6*10^6))/(H106*24*60),""))),2)</f>
        <v>#VALUE!</v>
      </c>
      <c r="I108" s="11" t="e">
        <f>ROUND(IF(OR($D$7="c",$D$7="h"),(I99-I100)*PI()*((I96/2)^2)*7.480519/(I106*24*60),IF($D$7="r",(I99-I100)*I96*I97*7.480519/(I106*24*60),IF($D$8="y",((I99*$D$6*10^6)-(I100*$D$6*10^6))/(I106*24*60),""))),2)</f>
        <v>#VALUE!</v>
      </c>
      <c r="J108" s="95" t="s">
        <v>2</v>
      </c>
      <c r="K108" s="95"/>
      <c r="L108" s="8"/>
      <c r="M108" s="8"/>
      <c r="N108" s="8"/>
      <c r="O108" s="94"/>
    </row>
    <row r="109" spans="2:15" ht="13" x14ac:dyDescent="0.3">
      <c r="B109" s="92"/>
      <c r="C109" s="105" t="s">
        <v>37</v>
      </c>
      <c r="D109" s="11" t="e">
        <f>'Tank#5'!E73</f>
        <v>#DIV/0!</v>
      </c>
      <c r="E109" s="11" t="e">
        <f>ROUND(IF(OR($D$7="c",$D$7="h"),(E99-E100)*PI()*((E96/2)^2)*7.480519/(E107*24*60),IF($D$7="r",(E99-E100)*E96*E97*7.480519/(E107*24*60),IF($D$8="y",((E99*$D$6*10^6)-(E100*$D$6*10^6))/(E107*24*60),""))),2)</f>
        <v>#VALUE!</v>
      </c>
      <c r="F109" s="11" t="e">
        <f>ROUND(IF(OR($D$7="c",$D$7="h"),(F99-F100)*PI()*((F96/2)^2)*7.480519/(F107*24*60),IF($D$7="r",(F99-F100)*F96*F97*7.480519/(F107*24*60),IF($D$8="y",((F99*$D$6*10^6)-(F100*$D$6*10^6))/(F107*24*60),""))),2)</f>
        <v>#VALUE!</v>
      </c>
      <c r="G109" s="11" t="e">
        <f>ROUND(IF(OR($D$7="c",$D$7="h"),(G99-G100)*PI()*((G96/2)^2)*7.480519/(G107*24*60),IF($D$7="r",(G99-G100)*G96*G97*7.480519/(G107*24*60),IF($D$8="y",((G99*$D$6*10^6)-(G100*$D$6*10^6))/(G107*24*60),""))),2)</f>
        <v>#VALUE!</v>
      </c>
      <c r="H109" s="11" t="e">
        <f>ROUND(IF(OR($D$7="c",$D$7="h"),(H99-H100)*PI()*((H96/2)^2)*7.480519/(H107*24*60),IF($D$7="r",(H99-H100)*H96*H97*7.480519/(H107*24*60),IF($D$8="y",((H99*$D$6*10^6)-(H100*$D$6*10^6))/(H107*24*60),""))),2)</f>
        <v>#VALUE!</v>
      </c>
      <c r="I109" s="11" t="e">
        <f>ROUND(IF(OR($D$7="c",$D$7="h"),(I99-I100)*PI()*((I96/2)^2)*7.480519/(I107*24*60),IF($D$7="r",(I99-I100)*I96*I97*7.480519/(I107*24*60),IF($D$8="y",((I99*$D$6*10^6)-(I100*$D$6*10^6))/(I107*24*60),""))),2)</f>
        <v>#VALUE!</v>
      </c>
      <c r="J109" s="95" t="s">
        <v>2</v>
      </c>
      <c r="K109" s="95"/>
      <c r="L109" s="8"/>
      <c r="M109" s="8"/>
      <c r="N109" s="8"/>
      <c r="O109" s="94"/>
    </row>
    <row r="110" spans="2:15" ht="26" x14ac:dyDescent="0.3">
      <c r="B110" s="92"/>
      <c r="C110" s="123" t="s">
        <v>288</v>
      </c>
      <c r="D110" s="11" t="e">
        <f>'Tank#5'!E70</f>
        <v>#DIV/0!</v>
      </c>
      <c r="E110" s="11" t="str">
        <f>IF(OR($D$7="c",$D$7="h"),(E99-E100)*PI()*((E96/2)^2)*7.480519/10^6,IF($D$7="r",(E99-E100)*E96*E97*7.480519/10^6,IF($D$8="y",((E99*$D$6*10^6)-(E100*$D$6*10^6))/10^6,"")))</f>
        <v/>
      </c>
      <c r="F110" s="11" t="str">
        <f>IF(OR($D$7="c",$D$7="h"),(F99-F100)*PI()*((F96/2)^2)*7.480519/10^6,IF($D$7="r",(F99-F100)*F96*F97*7.480519/10^6,IF($D$8="y",((F99*$D$6*10^6)-(F100*$D$6*10^6))/10^6,"")))</f>
        <v/>
      </c>
      <c r="G110" s="11" t="str">
        <f>IF(OR($D$7="c",$D$7="h"),(G99-G100)*PI()*((G96/2)^2)*7.480519/10^6,IF($D$7="r",(G99-G100)*G96*G97*7.480519/10^6,IF($D$8="y",((G99*$D$6*10^6)-(G100*$D$6*10^6))/10^6,"")))</f>
        <v/>
      </c>
      <c r="H110" s="11" t="str">
        <f>IF(OR($D$7="c",$D$7="h"),(H99-H100)*PI()*((H96/2)^2)*7.480519/10^6,IF($D$7="r",(H99-H100)*H96*H97*7.480519/10^6,IF($D$8="y",((H99*$D$6*10^6)-(H100*$D$6*10^6))/10^6,"")))</f>
        <v/>
      </c>
      <c r="I110" s="11" t="str">
        <f>IF(OR($D$7="c",$D$7="h"),(I99-I100)*PI()*((I96/2)^2)*7.480519/10^6,IF($D$7="r",(I99-I100)*I96*I97*7.480519/10^6,IF($D$8="y",((I99*$D$6*10^6)-(I100*$D$6*10^6))/10^6,"")))</f>
        <v/>
      </c>
      <c r="J110" s="95" t="s">
        <v>5</v>
      </c>
      <c r="K110" s="95"/>
      <c r="L110" s="8"/>
      <c r="M110" s="8"/>
      <c r="N110" s="8"/>
      <c r="O110" s="94"/>
    </row>
    <row r="111" spans="2:15" ht="13" x14ac:dyDescent="0.3">
      <c r="B111" s="92"/>
      <c r="C111" s="105" t="s">
        <v>52</v>
      </c>
      <c r="D111" s="11" t="e">
        <f>'Tank#5'!E76</f>
        <v>#DIV/0!</v>
      </c>
      <c r="E111" s="11" t="e">
        <f>E109+E108</f>
        <v>#VALUE!</v>
      </c>
      <c r="F111" s="11" t="e">
        <f>F109+F108</f>
        <v>#VALUE!</v>
      </c>
      <c r="G111" s="11" t="e">
        <f>G109+G108</f>
        <v>#VALUE!</v>
      </c>
      <c r="H111" s="11" t="e">
        <f>H109+H108</f>
        <v>#VALUE!</v>
      </c>
      <c r="I111" s="11" t="e">
        <f>I109+I108</f>
        <v>#VALUE!</v>
      </c>
      <c r="J111" s="95" t="s">
        <v>2</v>
      </c>
      <c r="K111" s="95"/>
      <c r="L111" s="8"/>
      <c r="M111" s="8"/>
      <c r="N111" s="8"/>
      <c r="O111" s="94"/>
    </row>
    <row r="112" spans="2:15" ht="13" x14ac:dyDescent="0.3">
      <c r="B112" s="92"/>
      <c r="C112" s="123" t="s">
        <v>289</v>
      </c>
      <c r="D112" s="11" t="e">
        <f>'Tank#5'!$E$77</f>
        <v>#DIV/0!</v>
      </c>
      <c r="E112" s="32" t="e">
        <f>E110/E111</f>
        <v>#VALUE!</v>
      </c>
      <c r="F112" s="32" t="e">
        <f>F110/F111</f>
        <v>#VALUE!</v>
      </c>
      <c r="G112" s="32" t="e">
        <f>G110/G111</f>
        <v>#VALUE!</v>
      </c>
      <c r="H112" s="32" t="e">
        <f>H110/H111</f>
        <v>#VALUE!</v>
      </c>
      <c r="I112" s="32" t="e">
        <f>I110/I111</f>
        <v>#VALUE!</v>
      </c>
      <c r="J112" s="95" t="s">
        <v>3</v>
      </c>
      <c r="K112" s="95"/>
      <c r="L112" s="8"/>
      <c r="M112" s="8"/>
      <c r="N112" s="8"/>
      <c r="O112" s="94"/>
    </row>
    <row r="113" spans="2:15" ht="13" x14ac:dyDescent="0.3">
      <c r="B113" s="92"/>
      <c r="C113" s="105" t="s">
        <v>44</v>
      </c>
      <c r="D113" s="11" t="e">
        <f>'Tank#5'!$E$78</f>
        <v>#DIV/0!</v>
      </c>
      <c r="E113" s="32" t="str">
        <f>IF(OR($D$7="c",$D$7="h"),((E99+E100)/2)*PI()*((E96/2)^2)*7.480519/10^6,IF($D$7="r",((E99+E100)/2)*E96*E97*7.480519/10^6,IF($D$8="y",(((E99*$D$6*10^6)+(E100*$D$6*10^6))/2)/10^6,"")))</f>
        <v/>
      </c>
      <c r="F113" s="32" t="str">
        <f>IF(OR($D$7="c",$D$7="h"),((F99+F100)/2)*PI()*((F96/2)^2)*7.480519/10^6,IF($D$7="r",((F99+F100)/2)*F96*F97*7.480519/10^6,IF($D$8="y",(((F99*$D$6*10^6)+(F100*$D$6*10^6))/2)/10^6,"")))</f>
        <v/>
      </c>
      <c r="G113" s="32" t="str">
        <f>IF(OR($D$7="c",$D$7="h"),((G99+G100)/2)*PI()*((G96/2)^2)*7.480519/10^6,IF($D$7="r",((G99+G100)/2)*G96*G97*7.480519/10^6,IF($D$8="y",(((G99*$D$6*10^6)+(G100*$D$6*10^6))/2)/10^6,"")))</f>
        <v/>
      </c>
      <c r="H113" s="32" t="str">
        <f>IF(OR($D$7="c",$D$7="h"),((H99+H100)/2)*PI()*((H96/2)^2)*7.480519/10^6,IF($D$7="r",((H99+H100)/2)*H96*H97*7.480519/10^6,IF($D$8="y",(((H99*$D$6*10^6)+(H100*$D$6*10^6))/2)/10^6,"")))</f>
        <v/>
      </c>
      <c r="I113" s="32" t="str">
        <f>IF(OR($D$7="c",$D$7="h"),((I99+I100)/2)*PI()*((I96/2)^2)*7.480519/10^6,IF($D$7="r",((I99+I100)/2)*I96*I97*7.480519/10^6,IF($D$8="y",(((I99*$D$6*10^6)+(I100*$D$6*10^6))/2)/10^6,"")))</f>
        <v/>
      </c>
      <c r="J113" s="95" t="s">
        <v>5</v>
      </c>
      <c r="K113" s="95"/>
      <c r="L113" s="8"/>
      <c r="M113" s="8"/>
      <c r="N113" s="8"/>
      <c r="O113" s="94"/>
    </row>
    <row r="114" spans="2:15" ht="26" x14ac:dyDescent="0.3">
      <c r="B114" s="92"/>
      <c r="C114" s="137" t="s">
        <v>57</v>
      </c>
      <c r="D114" s="138" t="e">
        <f>'Tank#5'!J75</f>
        <v>#DIV/0!</v>
      </c>
      <c r="E114" s="139" t="e">
        <f>E102/E104</f>
        <v>#VALUE!</v>
      </c>
      <c r="F114" s="139" t="e">
        <f>F102/F104</f>
        <v>#VALUE!</v>
      </c>
      <c r="G114" s="139" t="e">
        <f>G102/G104</f>
        <v>#VALUE!</v>
      </c>
      <c r="H114" s="139" t="e">
        <f>H102/H104</f>
        <v>#VALUE!</v>
      </c>
      <c r="I114" s="139" t="e">
        <f>I102/I104</f>
        <v>#VALUE!</v>
      </c>
      <c r="J114" s="95"/>
      <c r="K114" s="95"/>
      <c r="L114" s="8"/>
      <c r="M114" s="8"/>
      <c r="N114" s="8"/>
      <c r="O114" s="94"/>
    </row>
    <row r="115" spans="2:15" ht="13" x14ac:dyDescent="0.3">
      <c r="B115" s="92"/>
      <c r="C115" s="137" t="s">
        <v>8</v>
      </c>
      <c r="D115" s="140" t="e">
        <f>'Tank#5'!$E$79</f>
        <v>#DIV/0!</v>
      </c>
      <c r="E115" s="140" t="e">
        <f>E113/E112</f>
        <v>#VALUE!</v>
      </c>
      <c r="F115" s="140" t="e">
        <f>F113/F112</f>
        <v>#VALUE!</v>
      </c>
      <c r="G115" s="140" t="e">
        <f>G113/G112</f>
        <v>#VALUE!</v>
      </c>
      <c r="H115" s="140" t="e">
        <f>H113/H112</f>
        <v>#VALUE!</v>
      </c>
      <c r="I115" s="140" t="e">
        <f>I113/I112</f>
        <v>#VALUE!</v>
      </c>
      <c r="J115" s="95" t="s">
        <v>2</v>
      </c>
      <c r="K115" s="95"/>
      <c r="L115" s="8"/>
      <c r="M115" s="8"/>
      <c r="N115" s="8"/>
      <c r="O115" s="94"/>
    </row>
    <row r="116" spans="2:15" ht="13.5" thickBot="1" x14ac:dyDescent="0.35">
      <c r="B116" s="101"/>
      <c r="C116" s="102"/>
      <c r="D116" s="102"/>
      <c r="E116" s="102"/>
      <c r="F116" s="102"/>
      <c r="G116" s="106"/>
      <c r="H116" s="106"/>
      <c r="I116" s="107"/>
      <c r="J116" s="102"/>
      <c r="K116" s="102"/>
      <c r="L116" s="102"/>
      <c r="M116" s="102"/>
      <c r="N116" s="102"/>
      <c r="O116" s="103"/>
    </row>
    <row r="117" spans="2:15" ht="18.5" hidden="1" thickBot="1" x14ac:dyDescent="0.45">
      <c r="B117" s="116" t="s">
        <v>191</v>
      </c>
      <c r="C117" s="111"/>
      <c r="D117" s="120"/>
      <c r="E117" s="111"/>
      <c r="F117" s="111"/>
      <c r="G117" s="111"/>
      <c r="H117" s="111"/>
      <c r="I117" s="111"/>
      <c r="J117" s="111"/>
      <c r="K117" s="111"/>
      <c r="L117" s="118"/>
      <c r="M117" s="118"/>
      <c r="N117" s="118"/>
      <c r="O117" s="119"/>
    </row>
    <row r="118" spans="2:15" hidden="1" x14ac:dyDescent="0.25">
      <c r="B118" s="149"/>
      <c r="C118" s="104"/>
      <c r="D118" s="104"/>
      <c r="E118" s="104"/>
      <c r="F118" s="104"/>
      <c r="G118" s="104"/>
      <c r="H118" s="104"/>
      <c r="I118" s="104"/>
      <c r="J118" s="104"/>
      <c r="K118" s="104"/>
      <c r="L118" s="90"/>
      <c r="M118" s="90"/>
      <c r="N118" s="90"/>
      <c r="O118" s="91"/>
    </row>
    <row r="119" spans="2:15" ht="13" hidden="1" x14ac:dyDescent="0.3">
      <c r="B119" s="92"/>
      <c r="C119" s="95" t="s">
        <v>86</v>
      </c>
      <c r="D119" s="29"/>
      <c r="E119" s="29"/>
      <c r="F119" s="29"/>
      <c r="G119" s="29"/>
      <c r="H119" s="29"/>
      <c r="I119" s="29"/>
      <c r="J119" s="29"/>
      <c r="K119" s="29"/>
      <c r="L119" s="8"/>
      <c r="M119" s="8"/>
      <c r="N119" s="8"/>
      <c r="O119" s="94"/>
    </row>
    <row r="120" spans="2:15" ht="13" hidden="1" x14ac:dyDescent="0.3">
      <c r="B120" s="92"/>
      <c r="C120" s="95" t="s">
        <v>88</v>
      </c>
      <c r="D120" s="29"/>
      <c r="E120" s="29"/>
      <c r="F120" s="29"/>
      <c r="G120" s="29"/>
      <c r="H120" s="29"/>
      <c r="I120" s="29"/>
      <c r="J120" s="29"/>
      <c r="K120" s="29"/>
      <c r="L120" s="8"/>
      <c r="M120" s="8"/>
      <c r="N120" s="8"/>
      <c r="O120" s="94"/>
    </row>
    <row r="121" spans="2:15" ht="13" hidden="1" x14ac:dyDescent="0.3">
      <c r="B121" s="92"/>
      <c r="C121" s="95" t="s">
        <v>89</v>
      </c>
      <c r="D121" s="29"/>
      <c r="E121" s="29"/>
      <c r="F121" s="29"/>
      <c r="G121" s="29"/>
      <c r="H121" s="29"/>
      <c r="I121" s="29"/>
      <c r="J121" s="29"/>
      <c r="K121" s="29"/>
      <c r="L121" s="8"/>
      <c r="M121" s="8"/>
      <c r="N121" s="8"/>
      <c r="O121" s="94"/>
    </row>
    <row r="122" spans="2:15" ht="13" hidden="1" x14ac:dyDescent="0.3">
      <c r="B122" s="92"/>
      <c r="C122" s="95" t="s">
        <v>90</v>
      </c>
      <c r="D122" s="29"/>
      <c r="E122" s="29"/>
      <c r="F122" s="29"/>
      <c r="G122" s="29"/>
      <c r="H122" s="29"/>
      <c r="I122" s="29"/>
      <c r="J122" s="29"/>
      <c r="K122" s="29"/>
      <c r="L122" s="8"/>
      <c r="M122" s="8"/>
      <c r="N122" s="8"/>
      <c r="O122" s="94"/>
    </row>
    <row r="123" spans="2:15" ht="13" hidden="1" x14ac:dyDescent="0.3">
      <c r="B123" s="92"/>
      <c r="C123" s="113"/>
      <c r="D123" s="29"/>
      <c r="E123" s="29"/>
      <c r="F123" s="29"/>
      <c r="G123" s="29"/>
      <c r="H123" s="29"/>
      <c r="I123" s="29"/>
      <c r="J123" s="29"/>
      <c r="K123" s="29"/>
      <c r="L123" s="8"/>
      <c r="M123" s="8"/>
      <c r="N123" s="8"/>
      <c r="O123" s="94"/>
    </row>
    <row r="124" spans="2:15" ht="39" hidden="1" x14ac:dyDescent="0.3">
      <c r="B124" s="92"/>
      <c r="C124" s="29"/>
      <c r="D124" s="133" t="s">
        <v>79</v>
      </c>
      <c r="E124" s="81" t="s">
        <v>45</v>
      </c>
      <c r="F124" s="81" t="s">
        <v>46</v>
      </c>
      <c r="G124" s="81" t="s">
        <v>47</v>
      </c>
      <c r="H124" s="81" t="s">
        <v>48</v>
      </c>
      <c r="I124" s="81" t="s">
        <v>49</v>
      </c>
      <c r="J124" s="29"/>
      <c r="K124" s="29"/>
      <c r="L124" s="8"/>
      <c r="M124" s="8"/>
      <c r="N124" s="8"/>
      <c r="O124" s="94"/>
    </row>
    <row r="125" spans="2:15" ht="13" hidden="1" x14ac:dyDescent="0.3">
      <c r="B125" s="92"/>
      <c r="C125" s="123" t="str">
        <f>IF(D49="y","Fraction Full (Max Level)","High/Max Level")</f>
        <v>High/Max Level</v>
      </c>
      <c r="D125" s="132" t="b">
        <f>IF(OR($D$7="c",$D$7="r",D7="h"),(SUM(E53:E67)/COUNTIF(E53:E67,"&gt;0")),IF($D$8="y",(SUM(E53:E67)/COUNTIF(E53:E67,"&gt;0"))/($D$6*10^6)))</f>
        <v>0</v>
      </c>
      <c r="E125" s="135">
        <f t="shared" ref="E125:I126" si="11">E99</f>
        <v>0</v>
      </c>
      <c r="F125" s="135">
        <f t="shared" si="11"/>
        <v>0</v>
      </c>
      <c r="G125" s="135">
        <f t="shared" si="11"/>
        <v>0</v>
      </c>
      <c r="H125" s="135">
        <f t="shared" si="11"/>
        <v>0</v>
      </c>
      <c r="I125" s="135">
        <f t="shared" si="11"/>
        <v>0</v>
      </c>
      <c r="J125" s="95" t="str">
        <f>IF(D49="y","","ft")</f>
        <v>ft</v>
      </c>
      <c r="K125" s="95"/>
      <c r="L125" s="8"/>
      <c r="M125" s="8"/>
      <c r="N125" s="8"/>
      <c r="O125" s="94"/>
    </row>
    <row r="126" spans="2:15" ht="13" hidden="1" x14ac:dyDescent="0.3">
      <c r="B126" s="92"/>
      <c r="C126" s="123" t="str">
        <f>IF(D49="y","Fraction Full (Min Level)","Low/Min Level")</f>
        <v>Low/Min Level</v>
      </c>
      <c r="D126" s="132" t="b">
        <f>IF(OR($D$7="c",$D$7="r",D7="h"),(SUM(D53:D67)/COUNTIF(D53:D67,"&gt;0")),IF($D$8="y",(SUM(D53:D67)/COUNTIF(D53:D67,"&gt;0"))/($D$6*10^6)))</f>
        <v>0</v>
      </c>
      <c r="E126" s="135">
        <f t="shared" si="11"/>
        <v>0</v>
      </c>
      <c r="F126" s="135">
        <f t="shared" si="11"/>
        <v>0</v>
      </c>
      <c r="G126" s="135">
        <f t="shared" si="11"/>
        <v>0</v>
      </c>
      <c r="H126" s="135">
        <f t="shared" si="11"/>
        <v>0</v>
      </c>
      <c r="I126" s="135">
        <f t="shared" si="11"/>
        <v>0</v>
      </c>
      <c r="J126" s="95" t="str">
        <f>IF(D49="y","","ft")</f>
        <v>ft</v>
      </c>
      <c r="K126" s="95"/>
      <c r="L126" s="8"/>
      <c r="M126" s="8"/>
      <c r="N126" s="8"/>
      <c r="O126" s="94"/>
    </row>
    <row r="127" spans="2:15" ht="24.75" hidden="1" customHeight="1" x14ac:dyDescent="0.3">
      <c r="B127" s="92"/>
      <c r="C127" s="137" t="s">
        <v>87</v>
      </c>
      <c r="D127" s="141" t="e">
        <f>D114</f>
        <v>#DIV/0!</v>
      </c>
      <c r="E127" s="141" t="e">
        <f t="shared" ref="E127:I128" si="12">E114</f>
        <v>#VALUE!</v>
      </c>
      <c r="F127" s="141" t="e">
        <f t="shared" si="12"/>
        <v>#VALUE!</v>
      </c>
      <c r="G127" s="141" t="e">
        <f t="shared" si="12"/>
        <v>#VALUE!</v>
      </c>
      <c r="H127" s="141" t="e">
        <f t="shared" si="12"/>
        <v>#VALUE!</v>
      </c>
      <c r="I127" s="141" t="e">
        <f t="shared" si="12"/>
        <v>#VALUE!</v>
      </c>
      <c r="J127" s="95"/>
      <c r="K127" s="95"/>
      <c r="L127" s="8"/>
      <c r="M127" s="8"/>
      <c r="N127" s="8"/>
      <c r="O127" s="94"/>
    </row>
    <row r="128" spans="2:15" ht="13" hidden="1" x14ac:dyDescent="0.3">
      <c r="B128" s="92"/>
      <c r="C128" s="137" t="s">
        <v>8</v>
      </c>
      <c r="D128" s="142" t="e">
        <f>D115</f>
        <v>#DIV/0!</v>
      </c>
      <c r="E128" s="140" t="e">
        <f t="shared" si="12"/>
        <v>#VALUE!</v>
      </c>
      <c r="F128" s="140" t="e">
        <f t="shared" si="12"/>
        <v>#VALUE!</v>
      </c>
      <c r="G128" s="140" t="e">
        <f t="shared" si="12"/>
        <v>#VALUE!</v>
      </c>
      <c r="H128" s="140" t="e">
        <f t="shared" si="12"/>
        <v>#VALUE!</v>
      </c>
      <c r="I128" s="140" t="e">
        <f t="shared" si="12"/>
        <v>#VALUE!</v>
      </c>
      <c r="J128" s="95" t="s">
        <v>2</v>
      </c>
      <c r="K128" s="95"/>
      <c r="L128" s="8"/>
      <c r="M128" s="8"/>
      <c r="N128" s="8"/>
      <c r="O128" s="94"/>
    </row>
    <row r="129" spans="2:15" ht="39" hidden="1" x14ac:dyDescent="0.3">
      <c r="B129" s="92"/>
      <c r="C129" s="161" t="s">
        <v>84</v>
      </c>
      <c r="D129" s="146">
        <v>0.14929999999999999</v>
      </c>
      <c r="E129" s="162">
        <f>D129</f>
        <v>0.14929999999999999</v>
      </c>
      <c r="F129" s="162">
        <f>D129</f>
        <v>0.14929999999999999</v>
      </c>
      <c r="G129" s="162">
        <f>D129</f>
        <v>0.14929999999999999</v>
      </c>
      <c r="H129" s="162">
        <f>D129</f>
        <v>0.14929999999999999</v>
      </c>
      <c r="I129" s="162">
        <f>D129</f>
        <v>0.14929999999999999</v>
      </c>
      <c r="J129" s="95" t="s">
        <v>76</v>
      </c>
      <c r="K129" s="95"/>
      <c r="L129" s="8"/>
      <c r="M129" s="8"/>
      <c r="N129" s="8"/>
      <c r="O129" s="94"/>
    </row>
    <row r="130" spans="2:15" ht="26" hidden="1" x14ac:dyDescent="0.3">
      <c r="B130" s="92"/>
      <c r="C130" s="123" t="s">
        <v>80</v>
      </c>
      <c r="D130" s="124" t="e">
        <f>SUM(F53:F67)/COUNTIF(F53:F67,"&gt;0")</f>
        <v>#DIV/0!</v>
      </c>
      <c r="E130" s="124" t="str">
        <f>IF(OR($D$7="c",$D$7="h"),(E100)*PI()*($D$10/2)^2*7.48/10^6,IF($D$7="r",E100*$D$10*$D$11*7.48/10^6,IF($D$8="y",E100/10^6,"error")))</f>
        <v>error</v>
      </c>
      <c r="F130" s="124" t="str">
        <f>IF(OR($D$7="c",$D$7="h"),(F100)*PI()*($D$10/2)^2*7.48/10^6,IF($D$7="r",F100*$D$10*$D$11*7.48/10^6,IF($D$8="y",F100/10^6,"error")))</f>
        <v>error</v>
      </c>
      <c r="G130" s="124" t="str">
        <f>IF(OR($D$7="c",$D$7="h"),(G100)*PI()*($D$10/2)^2*7.48/10^6,IF($D$7="r",G100*$D$10*$D$11*7.48/10^6,IF($D$8="y",G100/10^6,"error")))</f>
        <v>error</v>
      </c>
      <c r="H130" s="124" t="str">
        <f>IF(OR($D$7="c",$D$7="h"),(H100)*PI()*($D$10/2)^2*7.48/10^6,IF($D$7="r",H100*$D$10*$D$11*7.48/10^6,IF($D$8="y",H100/10^6,"error")))</f>
        <v>error</v>
      </c>
      <c r="I130" s="124" t="str">
        <f>IF(OR($D$7="c",$D$7="h"),(I100)*PI()*($D$10/2)^2*7.48/10^6,IF($D$7="r",I100*$D$10*$D$11*7.48/10^6,IF($D$8="y",I100/10^6,"error")))</f>
        <v>error</v>
      </c>
      <c r="J130" s="95" t="s">
        <v>5</v>
      </c>
      <c r="K130" s="95"/>
      <c r="L130" s="8"/>
      <c r="M130" s="8"/>
      <c r="N130" s="8"/>
      <c r="O130" s="94"/>
    </row>
    <row r="131" spans="2:15" ht="39" hidden="1" x14ac:dyDescent="0.3">
      <c r="B131" s="92"/>
      <c r="C131" s="125" t="s">
        <v>81</v>
      </c>
      <c r="D131" s="124" t="e">
        <f>SUM(F53:F67)/COUNTIF(F53:F67,"&gt;0")+SUM(G53:G67)/COUNTIF(G53:G67,"&gt;0")</f>
        <v>#DIV/0!</v>
      </c>
      <c r="E131" s="11" t="str">
        <f>IF(OR($D$7="c",$D$7="h"),(E99)*PI()*($D$10/2)^2*7.48/10^6,IF($D$7="r",E99*$D$10*$D$11*7.48/10^6,IF($D$8="y",E99/10^6,"error")))</f>
        <v>error</v>
      </c>
      <c r="F131" s="11" t="str">
        <f>IF(OR($D$7="c",$D$7="h"),(F99)*PI()*($D$10/2)^2*7.48/10^6,IF($D$7="r",F99*$D$10*$D$11*7.48/10^6,IF($D$8="y",F99/10^6,"error")))</f>
        <v>error</v>
      </c>
      <c r="G131" s="11" t="str">
        <f>IF(OR($D$7="c",$D$7="h"),(G99)*PI()*($D$10/2)^2*7.48/10^6,IF($D$7="r",G99*$D$10*$D$11*7.48/10^6,IF($D$8="y",G99/10^6,"error")))</f>
        <v>error</v>
      </c>
      <c r="H131" s="11" t="str">
        <f>IF(OR($D$7="c",$D$7="h"),(H99)*PI()*($D$10/2)^2*7.48/10^6,IF($D$7="r",H99*$D$10*$D$11*7.48/10^6,IF($D$8="y",H99/10^6,"error")))</f>
        <v>error</v>
      </c>
      <c r="I131" s="11" t="str">
        <f>IF(OR($D$7="c",$D$7="h"),(I99)*PI()*($D$10/2)^2*7.48/10^6,IF($D$7="r",I99*$D$10*$D$11*7.48/10^6,IF($D$8="y",I99/10^6,"error")))</f>
        <v>error</v>
      </c>
      <c r="J131" s="95" t="s">
        <v>5</v>
      </c>
      <c r="K131" s="95"/>
      <c r="L131" s="8"/>
      <c r="M131" s="8"/>
      <c r="N131" s="8"/>
      <c r="O131" s="94"/>
    </row>
    <row r="132" spans="2:15" ht="13" hidden="1" x14ac:dyDescent="0.3">
      <c r="B132" s="92"/>
      <c r="C132" s="123" t="s">
        <v>83</v>
      </c>
      <c r="D132" s="124" t="e">
        <f t="shared" ref="D132:I133" si="13">D108</f>
        <v>#DIV/0!</v>
      </c>
      <c r="E132" s="124" t="e">
        <f t="shared" si="13"/>
        <v>#VALUE!</v>
      </c>
      <c r="F132" s="124" t="e">
        <f t="shared" si="13"/>
        <v>#VALUE!</v>
      </c>
      <c r="G132" s="124" t="e">
        <f t="shared" si="13"/>
        <v>#VALUE!</v>
      </c>
      <c r="H132" s="124" t="e">
        <f t="shared" si="13"/>
        <v>#VALUE!</v>
      </c>
      <c r="I132" s="124" t="e">
        <f t="shared" si="13"/>
        <v>#VALUE!</v>
      </c>
      <c r="J132" s="95" t="s">
        <v>2</v>
      </c>
      <c r="K132" s="95"/>
      <c r="L132" s="8"/>
      <c r="M132" s="8"/>
      <c r="N132" s="8"/>
      <c r="O132" s="94"/>
    </row>
    <row r="133" spans="2:15" ht="13" hidden="1" x14ac:dyDescent="0.3">
      <c r="B133" s="92"/>
      <c r="C133" s="123" t="s">
        <v>82</v>
      </c>
      <c r="D133" s="132" t="e">
        <f t="shared" si="13"/>
        <v>#DIV/0!</v>
      </c>
      <c r="E133" s="132" t="e">
        <f t="shared" si="13"/>
        <v>#VALUE!</v>
      </c>
      <c r="F133" s="132" t="e">
        <f t="shared" si="13"/>
        <v>#VALUE!</v>
      </c>
      <c r="G133" s="132" t="e">
        <f t="shared" si="13"/>
        <v>#VALUE!</v>
      </c>
      <c r="H133" s="132" t="e">
        <f t="shared" si="13"/>
        <v>#VALUE!</v>
      </c>
      <c r="I133" s="132" t="e">
        <f t="shared" si="13"/>
        <v>#VALUE!</v>
      </c>
      <c r="J133" s="95" t="s">
        <v>2</v>
      </c>
      <c r="K133" s="95"/>
      <c r="L133" s="8"/>
      <c r="M133" s="8"/>
      <c r="N133" s="8"/>
      <c r="O133" s="94"/>
    </row>
    <row r="134" spans="2:15" ht="39" hidden="1" x14ac:dyDescent="0.3">
      <c r="B134" s="92"/>
      <c r="C134" s="123" t="s">
        <v>91</v>
      </c>
      <c r="D134" s="144" t="e">
        <f t="shared" ref="D134:I134" si="14">(D130/(D131-D130))*(D133+D132)+D133+D132*(1-((D130/(D131-D130))-ROUNDDOWN((D130/(D131-D130)),0)))</f>
        <v>#DIV/0!</v>
      </c>
      <c r="E134" s="144" t="e">
        <f t="shared" si="14"/>
        <v>#VALUE!</v>
      </c>
      <c r="F134" s="144" t="e">
        <f t="shared" si="14"/>
        <v>#VALUE!</v>
      </c>
      <c r="G134" s="144" t="e">
        <f t="shared" si="14"/>
        <v>#VALUE!</v>
      </c>
      <c r="H134" s="144" t="e">
        <f t="shared" si="14"/>
        <v>#VALUE!</v>
      </c>
      <c r="I134" s="144" t="e">
        <f t="shared" si="14"/>
        <v>#VALUE!</v>
      </c>
      <c r="J134" s="95" t="s">
        <v>2</v>
      </c>
      <c r="K134" s="95"/>
      <c r="L134" s="8"/>
      <c r="M134" s="8"/>
      <c r="N134" s="8"/>
      <c r="O134" s="94"/>
    </row>
    <row r="135" spans="2:15" ht="40.5" hidden="1" customHeight="1" x14ac:dyDescent="0.3">
      <c r="B135" s="92"/>
      <c r="C135" s="161" t="s">
        <v>85</v>
      </c>
      <c r="D135" s="146">
        <v>1.57</v>
      </c>
      <c r="E135" s="163">
        <f>D135</f>
        <v>1.57</v>
      </c>
      <c r="F135" s="163">
        <f>D135</f>
        <v>1.57</v>
      </c>
      <c r="G135" s="163">
        <f>D135</f>
        <v>1.57</v>
      </c>
      <c r="H135" s="163">
        <f>D135</f>
        <v>1.57</v>
      </c>
      <c r="I135" s="163">
        <f>D135</f>
        <v>1.57</v>
      </c>
      <c r="J135" s="95" t="s">
        <v>78</v>
      </c>
      <c r="K135" s="95"/>
      <c r="L135" s="8"/>
      <c r="M135" s="8"/>
      <c r="N135" s="8"/>
      <c r="O135" s="94"/>
    </row>
    <row r="136" spans="2:15" ht="41" hidden="1" x14ac:dyDescent="0.3">
      <c r="B136" s="92"/>
      <c r="C136" s="143" t="s">
        <v>109</v>
      </c>
      <c r="D136" s="145" t="e">
        <f t="shared" ref="D136:I136" si="15">((EXP(-D129*D133)-EXP(-D129*(D132+D133)))*D135)/(D129*D132*(1+(D130/(D131-D130))*(1-EXP(-D129*(D132+D133)))))</f>
        <v>#DIV/0!</v>
      </c>
      <c r="E136" s="145" t="e">
        <f t="shared" si="15"/>
        <v>#VALUE!</v>
      </c>
      <c r="F136" s="145" t="e">
        <f t="shared" si="15"/>
        <v>#VALUE!</v>
      </c>
      <c r="G136" s="145" t="e">
        <f t="shared" si="15"/>
        <v>#VALUE!</v>
      </c>
      <c r="H136" s="145" t="e">
        <f t="shared" si="15"/>
        <v>#VALUE!</v>
      </c>
      <c r="I136" s="145" t="e">
        <f t="shared" si="15"/>
        <v>#VALUE!</v>
      </c>
      <c r="J136" s="95" t="s">
        <v>78</v>
      </c>
      <c r="K136" s="95"/>
      <c r="L136" s="8"/>
      <c r="M136" s="8"/>
      <c r="N136" s="8"/>
      <c r="O136" s="94"/>
    </row>
    <row r="137" spans="2:15" ht="41" hidden="1" x14ac:dyDescent="0.3">
      <c r="B137" s="92"/>
      <c r="C137" s="143" t="s">
        <v>108</v>
      </c>
      <c r="D137" s="145" t="e">
        <f t="shared" ref="D137:I137" si="16">D135*EXP(-D129*D134)</f>
        <v>#DIV/0!</v>
      </c>
      <c r="E137" s="145" t="e">
        <f t="shared" si="16"/>
        <v>#VALUE!</v>
      </c>
      <c r="F137" s="145" t="e">
        <f t="shared" si="16"/>
        <v>#VALUE!</v>
      </c>
      <c r="G137" s="145" t="e">
        <f t="shared" si="16"/>
        <v>#VALUE!</v>
      </c>
      <c r="H137" s="145" t="e">
        <f t="shared" si="16"/>
        <v>#VALUE!</v>
      </c>
      <c r="I137" s="145" t="e">
        <f t="shared" si="16"/>
        <v>#VALUE!</v>
      </c>
      <c r="J137" s="95" t="s">
        <v>78</v>
      </c>
      <c r="K137" s="95"/>
      <c r="L137" s="8"/>
      <c r="M137" s="8"/>
      <c r="N137" s="8"/>
      <c r="O137" s="94"/>
    </row>
    <row r="138" spans="2:15" hidden="1" x14ac:dyDescent="0.25">
      <c r="B138" s="92"/>
      <c r="C138" s="8" t="s">
        <v>110</v>
      </c>
      <c r="D138" s="8"/>
      <c r="E138" s="8"/>
      <c r="F138" s="8"/>
      <c r="G138" s="8"/>
      <c r="H138" s="8"/>
      <c r="I138" s="8"/>
      <c r="J138" s="8"/>
      <c r="K138" s="8"/>
      <c r="L138" s="8"/>
      <c r="M138" s="8"/>
      <c r="N138" s="8"/>
      <c r="O138" s="94"/>
    </row>
    <row r="139" spans="2:15" hidden="1" x14ac:dyDescent="0.25">
      <c r="B139" s="92"/>
      <c r="C139" s="424" t="s">
        <v>228</v>
      </c>
      <c r="D139" s="422"/>
      <c r="E139" s="422"/>
      <c r="F139" s="422"/>
      <c r="G139" s="422"/>
      <c r="H139" s="422"/>
      <c r="I139" s="422"/>
      <c r="J139" s="8"/>
      <c r="K139" s="8"/>
      <c r="L139" s="8"/>
      <c r="M139" s="8"/>
      <c r="N139" s="8"/>
      <c r="O139" s="94"/>
    </row>
    <row r="140" spans="2:15" hidden="1" x14ac:dyDescent="0.25">
      <c r="B140" s="92"/>
      <c r="C140" s="424" t="s">
        <v>229</v>
      </c>
      <c r="D140" s="422"/>
      <c r="E140" s="422"/>
      <c r="F140" s="422"/>
      <c r="G140" s="422"/>
      <c r="H140" s="422"/>
      <c r="I140" s="422"/>
      <c r="J140" s="8"/>
      <c r="K140" s="8"/>
      <c r="L140" s="8"/>
      <c r="M140" s="8"/>
      <c r="N140" s="8"/>
      <c r="O140" s="94"/>
    </row>
    <row r="141" spans="2:15" hidden="1" x14ac:dyDescent="0.25">
      <c r="B141" s="92"/>
      <c r="C141" s="424" t="s">
        <v>230</v>
      </c>
      <c r="D141" s="422"/>
      <c r="E141" s="422"/>
      <c r="F141" s="422"/>
      <c r="G141" s="422"/>
      <c r="H141" s="422"/>
      <c r="I141" s="422"/>
      <c r="J141" s="8"/>
      <c r="K141" s="8"/>
      <c r="L141" s="8"/>
      <c r="M141" s="8"/>
      <c r="N141" s="8"/>
      <c r="O141" s="94"/>
    </row>
    <row r="142" spans="2:15" hidden="1" x14ac:dyDescent="0.25">
      <c r="B142" s="92"/>
      <c r="C142" s="422" t="s">
        <v>231</v>
      </c>
      <c r="D142" s="422"/>
      <c r="E142" s="422"/>
      <c r="F142" s="422"/>
      <c r="G142" s="422"/>
      <c r="H142" s="422"/>
      <c r="I142" s="422"/>
      <c r="J142" s="8"/>
      <c r="K142" s="8"/>
      <c r="L142" s="8"/>
      <c r="M142" s="8"/>
      <c r="N142" s="8"/>
      <c r="O142" s="94"/>
    </row>
    <row r="143" spans="2:15" ht="26.25" hidden="1" customHeight="1" thickBot="1" x14ac:dyDescent="0.3">
      <c r="B143" s="101"/>
      <c r="C143" s="423"/>
      <c r="D143" s="423"/>
      <c r="E143" s="423"/>
      <c r="F143" s="423"/>
      <c r="G143" s="423"/>
      <c r="H143" s="423"/>
      <c r="I143" s="423"/>
      <c r="J143" s="102"/>
      <c r="K143" s="102"/>
      <c r="L143" s="102"/>
      <c r="M143" s="102"/>
      <c r="N143" s="102"/>
      <c r="O143" s="103"/>
    </row>
  </sheetData>
  <mergeCells count="4">
    <mergeCell ref="E11:F12"/>
    <mergeCell ref="H74:I74"/>
    <mergeCell ref="I77:L80"/>
    <mergeCell ref="D80:F83"/>
  </mergeCells>
  <conditionalFormatting sqref="D114:I114">
    <cfRule type="cellIs" dxfId="39" priority="7" stopIfTrue="1" operator="greaterThanOrEqual">
      <formula>1</formula>
    </cfRule>
    <cfRule type="cellIs" dxfId="38" priority="8" stopIfTrue="1" operator="lessThan">
      <formula>1</formula>
    </cfRule>
  </conditionalFormatting>
  <conditionalFormatting sqref="D115:I115">
    <cfRule type="cellIs" dxfId="37" priority="5" stopIfTrue="1" operator="greaterThan">
      <formula>5</formula>
    </cfRule>
    <cfRule type="cellIs" dxfId="36" priority="6" stopIfTrue="1" operator="lessThanOrEqual">
      <formula>5</formula>
    </cfRule>
  </conditionalFormatting>
  <conditionalFormatting sqref="E79">
    <cfRule type="cellIs" dxfId="35" priority="3" stopIfTrue="1" operator="lessThanOrEqual">
      <formula>5</formula>
    </cfRule>
    <cfRule type="cellIs" dxfId="34" priority="4" stopIfTrue="1" operator="greaterThan">
      <formula>5</formula>
    </cfRule>
  </conditionalFormatting>
  <conditionalFormatting sqref="J75">
    <cfRule type="cellIs" dxfId="33" priority="1" stopIfTrue="1" operator="greaterThanOrEqual">
      <formula>1</formula>
    </cfRule>
    <cfRule type="cellIs" dxfId="32" priority="2" stopIfTrue="1" operator="lessThan">
      <formula>1</formula>
    </cfRule>
  </conditionalFormatting>
  <pageMargins left="0.75" right="0.75" top="1" bottom="1" header="0.5" footer="0.5"/>
  <pageSetup scale="63" fitToHeight="4" orientation="landscape" r:id="rId1"/>
  <headerFooter alignWithMargins="0"/>
  <rowBreaks count="2" manualBreakCount="2">
    <brk id="48" max="16383" man="1"/>
    <brk id="84" max="1638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824D0-09D4-4154-B5EF-EFF0251C17F2}">
  <dimension ref="A1:T143"/>
  <sheetViews>
    <sheetView showGridLines="0" topLeftCell="A37" zoomScale="80" zoomScaleNormal="80" workbookViewId="0">
      <selection activeCell="I81" sqref="I81"/>
    </sheetView>
  </sheetViews>
  <sheetFormatPr defaultColWidth="9.1796875" defaultRowHeight="12.5" x14ac:dyDescent="0.25"/>
  <cols>
    <col min="1" max="2" width="1.54296875" style="1" customWidth="1"/>
    <col min="3" max="3" width="26" style="1" customWidth="1"/>
    <col min="4" max="4" width="17.81640625" style="1" customWidth="1"/>
    <col min="5" max="6" width="20.81640625" style="1" customWidth="1"/>
    <col min="7" max="7" width="17.81640625" style="1" customWidth="1"/>
    <col min="8" max="9" width="23.81640625" style="1" customWidth="1"/>
    <col min="10" max="10" width="16.453125" style="1" customWidth="1"/>
    <col min="11" max="11" width="12.81640625" style="1" customWidth="1"/>
    <col min="12" max="12" width="16.1796875" style="1" customWidth="1"/>
    <col min="13" max="13" width="9.1796875" style="1"/>
    <col min="14" max="14" width="9.81640625" style="1" customWidth="1"/>
    <col min="15" max="17" width="9.1796875" style="1"/>
    <col min="18" max="18" width="9.1796875" style="485" customWidth="1"/>
    <col min="19" max="16384" width="9.1796875" style="1"/>
  </cols>
  <sheetData>
    <row r="1" spans="2:20" ht="13" thickBot="1" x14ac:dyDescent="0.3"/>
    <row r="2" spans="2:20" ht="20.25" customHeight="1" thickBot="1" x14ac:dyDescent="0.3">
      <c r="B2" s="425" t="s">
        <v>111</v>
      </c>
      <c r="C2" s="426"/>
      <c r="D2" s="426"/>
      <c r="E2" s="426"/>
      <c r="F2" s="426"/>
      <c r="G2" s="426"/>
      <c r="H2" s="426"/>
      <c r="I2" s="426"/>
      <c r="J2" s="426"/>
      <c r="K2" s="426"/>
      <c r="L2" s="426"/>
      <c r="M2" s="426"/>
      <c r="N2" s="426"/>
      <c r="O2" s="427"/>
    </row>
    <row r="3" spans="2:20" ht="18.5" thickBot="1" x14ac:dyDescent="0.45">
      <c r="B3" s="116" t="s">
        <v>187</v>
      </c>
      <c r="C3" s="117"/>
      <c r="D3" s="118"/>
      <c r="E3" s="117"/>
      <c r="F3" s="118"/>
      <c r="G3" s="118"/>
      <c r="H3" s="118"/>
      <c r="I3" s="118"/>
      <c r="J3" s="118"/>
      <c r="K3" s="118"/>
      <c r="L3" s="118"/>
      <c r="M3" s="118"/>
      <c r="N3" s="118"/>
      <c r="O3" s="119"/>
    </row>
    <row r="4" spans="2:20" ht="16" customHeight="1" x14ac:dyDescent="0.3">
      <c r="B4" s="149"/>
      <c r="C4" s="329"/>
      <c r="D4" s="90"/>
      <c r="E4" s="90"/>
      <c r="F4" s="90"/>
      <c r="G4" s="90"/>
      <c r="H4" s="90"/>
      <c r="I4" s="90"/>
      <c r="J4" s="90"/>
      <c r="K4" s="90"/>
      <c r="L4" s="90"/>
      <c r="M4" s="90"/>
      <c r="N4" s="90"/>
      <c r="O4" s="91"/>
    </row>
    <row r="5" spans="2:20" ht="16" customHeight="1" x14ac:dyDescent="0.3">
      <c r="B5" s="92"/>
      <c r="C5" s="152" t="s">
        <v>7</v>
      </c>
      <c r="D5" s="153">
        <f>'Tank Summary'!Q12</f>
        <v>0</v>
      </c>
      <c r="E5" s="93"/>
      <c r="F5" s="93"/>
      <c r="G5" s="8"/>
      <c r="H5" s="8"/>
      <c r="I5" s="8"/>
      <c r="J5" s="8"/>
      <c r="K5" s="8"/>
      <c r="L5" s="8"/>
      <c r="M5" s="8"/>
      <c r="N5" s="8"/>
      <c r="O5" s="94"/>
    </row>
    <row r="6" spans="2:20" ht="16" customHeight="1" x14ac:dyDescent="0.3">
      <c r="B6" s="92"/>
      <c r="C6" s="147" t="s">
        <v>96</v>
      </c>
      <c r="D6" s="154">
        <f>'Tank Summary'!Q13</f>
        <v>0</v>
      </c>
      <c r="E6" s="93"/>
      <c r="F6" s="93"/>
      <c r="G6" s="8"/>
      <c r="H6" s="8"/>
      <c r="I6" s="8"/>
      <c r="J6" s="8"/>
      <c r="K6" s="8"/>
      <c r="L6" s="8"/>
      <c r="M6" s="8"/>
      <c r="N6" s="8"/>
      <c r="O6" s="94"/>
    </row>
    <row r="7" spans="2:20" ht="40.5" customHeight="1" x14ac:dyDescent="0.3">
      <c r="B7" s="92"/>
      <c r="C7" s="155" t="s">
        <v>64</v>
      </c>
      <c r="D7" s="88">
        <f>'Tank Summary'!Q14</f>
        <v>0</v>
      </c>
      <c r="E7" s="150"/>
      <c r="F7" s="93"/>
      <c r="G7" s="151"/>
      <c r="H7" s="8"/>
      <c r="I7" s="8"/>
      <c r="J7" s="8"/>
      <c r="K7" s="8"/>
      <c r="L7" s="8"/>
      <c r="M7" s="8"/>
      <c r="N7" s="8"/>
      <c r="O7" s="94"/>
    </row>
    <row r="8" spans="2:20" ht="39.75" customHeight="1" x14ac:dyDescent="0.3">
      <c r="B8" s="92"/>
      <c r="C8" s="155" t="s">
        <v>66</v>
      </c>
      <c r="D8" s="156">
        <f>'Tank Summary'!Q15</f>
        <v>0</v>
      </c>
      <c r="E8" s="150"/>
      <c r="F8" s="93"/>
      <c r="G8" s="151"/>
      <c r="H8" s="8"/>
      <c r="I8" s="8"/>
      <c r="J8" s="8"/>
      <c r="K8" s="8"/>
      <c r="L8" s="8"/>
      <c r="M8" s="8"/>
      <c r="N8" s="8"/>
      <c r="O8" s="94"/>
    </row>
    <row r="9" spans="2:20" ht="18" customHeight="1" x14ac:dyDescent="0.3">
      <c r="B9" s="92"/>
      <c r="C9" s="147" t="s">
        <v>304</v>
      </c>
      <c r="D9" s="157">
        <f>'Tank Summary'!Q20</f>
        <v>0</v>
      </c>
      <c r="E9" s="93" t="str">
        <f>IF(OR(D7="c", D7="r",D7="h"),"ft","")</f>
        <v/>
      </c>
      <c r="F9" s="96"/>
      <c r="G9" s="8"/>
      <c r="H9" s="8"/>
      <c r="I9" s="8"/>
      <c r="J9" s="8"/>
      <c r="K9" s="8"/>
      <c r="L9" s="8"/>
      <c r="M9" s="8"/>
      <c r="N9" s="8"/>
      <c r="O9" s="94"/>
    </row>
    <row r="10" spans="2:20" ht="18" customHeight="1" x14ac:dyDescent="0.3">
      <c r="B10" s="92"/>
      <c r="C10" s="158" t="str">
        <f>IF(OR(D7="c", D7="h"), "Tank diameter, D:", IF(D7="r","Longest Sidewall Length, D:","Maximum diameter, D:"))</f>
        <v>Maximum diameter, D:</v>
      </c>
      <c r="D10" s="157">
        <f>'Tank Summary'!Q17</f>
        <v>0</v>
      </c>
      <c r="E10" s="93" t="str">
        <f>IF(OR(D7="c", D7="r",D7="h"),"ft","")</f>
        <v/>
      </c>
      <c r="F10" s="93"/>
      <c r="G10" s="151"/>
      <c r="H10" s="8"/>
      <c r="I10" s="8"/>
      <c r="J10" s="8"/>
      <c r="K10" s="8"/>
      <c r="L10" s="8"/>
      <c r="M10" s="8"/>
      <c r="N10" s="8"/>
      <c r="O10" s="94"/>
    </row>
    <row r="11" spans="2:20" ht="18" customHeight="1" x14ac:dyDescent="0.3">
      <c r="B11" s="92"/>
      <c r="C11" s="158" t="str">
        <f>IF(OR(D7="c", D7="h"),"",IF(D7="r","Shortest Sidewall Length, L:",""))</f>
        <v/>
      </c>
      <c r="D11" s="157">
        <f>'Tank Summary'!Q18</f>
        <v>0</v>
      </c>
      <c r="E11" s="501" t="str">
        <f>IF(OR(D7="c", D7="h"),"",IF(D7="r","ft",IF(D8="y","","Spreadsheet is not set up for shapes other than cylindrical, hydropillar, &amp; rectangular unless SCADA reports tank volume!")))</f>
        <v>Spreadsheet is not set up for shapes other than cylindrical, hydropillar, &amp; rectangular unless SCADA reports tank volume!</v>
      </c>
      <c r="F11" s="502"/>
      <c r="G11" s="151"/>
      <c r="H11" s="8"/>
      <c r="I11" s="8"/>
      <c r="J11" s="8"/>
      <c r="K11" s="8"/>
      <c r="L11" s="8"/>
      <c r="M11" s="8"/>
      <c r="N11" s="8"/>
      <c r="O11" s="94"/>
    </row>
    <row r="12" spans="2:20" ht="18" customHeight="1" x14ac:dyDescent="0.3">
      <c r="B12" s="92"/>
      <c r="C12" s="152" t="str">
        <f>IF(D8="y", "Volume Cutoff Ratio:", "H/D Ratio:")</f>
        <v>H/D Ratio:</v>
      </c>
      <c r="D12" s="88" t="e">
        <f>IF(D8="y", (PI()/4)*D10^3, 'Tank Summary'!Q22)</f>
        <v>#DIV/0!</v>
      </c>
      <c r="E12" s="501"/>
      <c r="F12" s="502"/>
      <c r="G12" s="151"/>
      <c r="H12" s="8"/>
      <c r="I12" s="8"/>
      <c r="J12" s="8"/>
      <c r="K12" s="8"/>
      <c r="L12" s="8"/>
      <c r="M12" s="8"/>
      <c r="N12" s="8"/>
      <c r="O12" s="94"/>
    </row>
    <row r="13" spans="2:20" ht="18" customHeight="1" x14ac:dyDescent="0.3">
      <c r="B13" s="92"/>
      <c r="C13" s="152" t="s">
        <v>10</v>
      </c>
      <c r="D13" s="88">
        <f>'Tank Summary'!Q19</f>
        <v>0</v>
      </c>
      <c r="E13" s="93" t="s">
        <v>1</v>
      </c>
      <c r="F13" s="93"/>
      <c r="G13" s="8"/>
      <c r="H13" s="8"/>
      <c r="I13" s="8"/>
      <c r="J13" s="8"/>
      <c r="K13" s="8"/>
      <c r="L13" s="8"/>
      <c r="M13" s="8"/>
      <c r="N13" s="8"/>
      <c r="O13" s="94"/>
    </row>
    <row r="14" spans="2:20" ht="16" customHeight="1" x14ac:dyDescent="0.25">
      <c r="B14" s="92"/>
      <c r="C14" s="29"/>
      <c r="D14" s="29"/>
      <c r="E14" s="29"/>
      <c r="F14" s="29"/>
      <c r="G14" s="29"/>
      <c r="H14" s="29"/>
      <c r="I14" s="29"/>
      <c r="J14" s="8"/>
      <c r="K14" s="8"/>
      <c r="L14" s="8"/>
      <c r="M14" s="8"/>
      <c r="N14" s="8"/>
      <c r="O14" s="94"/>
      <c r="Q14" s="481"/>
      <c r="R14" s="481"/>
      <c r="S14" s="481"/>
      <c r="T14" s="481"/>
    </row>
    <row r="15" spans="2:20" ht="16" customHeight="1" x14ac:dyDescent="0.3">
      <c r="B15" s="92"/>
      <c r="C15" s="95" t="s">
        <v>206</v>
      </c>
      <c r="D15" s="53"/>
      <c r="E15" s="53"/>
      <c r="F15" s="53"/>
      <c r="G15" s="96"/>
      <c r="H15" s="338"/>
      <c r="I15" s="53"/>
      <c r="J15" s="8"/>
      <c r="K15" s="8"/>
      <c r="L15" s="97"/>
      <c r="M15" s="8"/>
      <c r="N15" s="8"/>
      <c r="O15" s="94"/>
      <c r="Q15" s="481"/>
      <c r="R15" s="481"/>
      <c r="S15" s="481"/>
      <c r="T15" s="481"/>
    </row>
    <row r="16" spans="2:20" ht="13" x14ac:dyDescent="0.3">
      <c r="B16" s="92"/>
      <c r="C16" s="13" t="s">
        <v>19</v>
      </c>
      <c r="D16" s="13" t="s">
        <v>20</v>
      </c>
      <c r="E16" s="13" t="str">
        <f>IF(D8="y","Vol at Start of Fill","Min Level")</f>
        <v>Min Level</v>
      </c>
      <c r="F16" s="13" t="str">
        <f>IF(D8="y","Vol at End of Fill","Max Level")</f>
        <v>Max Level</v>
      </c>
      <c r="G16" s="13" t="s">
        <v>21</v>
      </c>
      <c r="H16" s="13" t="s">
        <v>22</v>
      </c>
      <c r="I16" s="8"/>
      <c r="K16" s="8"/>
      <c r="L16" s="8"/>
      <c r="M16" s="8"/>
      <c r="N16" s="8"/>
      <c r="O16" s="94"/>
      <c r="Q16" s="481"/>
      <c r="R16" s="482" t="s">
        <v>285</v>
      </c>
      <c r="S16" s="481"/>
      <c r="T16" s="481"/>
    </row>
    <row r="17" spans="2:20" ht="13" x14ac:dyDescent="0.3">
      <c r="B17" s="92"/>
      <c r="C17" s="14"/>
      <c r="D17" s="14"/>
      <c r="E17" s="14" t="str">
        <f>IF(D8="y","Gal","Ft")</f>
        <v>Ft</v>
      </c>
      <c r="F17" s="14" t="str">
        <f>IF(D8="y","Gal","Ft")</f>
        <v>Ft</v>
      </c>
      <c r="G17" s="14"/>
      <c r="H17" s="14" t="s">
        <v>23</v>
      </c>
      <c r="I17" s="8"/>
      <c r="K17" s="8"/>
      <c r="L17" s="8"/>
      <c r="M17" s="8"/>
      <c r="N17" s="8"/>
      <c r="O17" s="94"/>
      <c r="Q17" s="481"/>
      <c r="R17" s="482" t="str">
        <f>IF(D8="y","Gal","Ft")</f>
        <v>Ft</v>
      </c>
      <c r="S17" s="481"/>
      <c r="T17" s="481"/>
    </row>
    <row r="18" spans="2:20" ht="13" x14ac:dyDescent="0.3">
      <c r="B18" s="92"/>
      <c r="C18" s="339"/>
      <c r="D18" s="340"/>
      <c r="E18" s="341"/>
      <c r="F18" s="341"/>
      <c r="G18" s="89">
        <f t="shared" ref="G18:G47" si="0">C18+D18</f>
        <v>0</v>
      </c>
      <c r="H18" s="12">
        <v>0</v>
      </c>
      <c r="I18" s="8">
        <v>1</v>
      </c>
      <c r="K18" s="8"/>
      <c r="L18" s="8"/>
      <c r="M18" s="8"/>
      <c r="N18" s="8"/>
      <c r="O18" s="94"/>
      <c r="Q18" s="481"/>
      <c r="R18" s="483" t="str">
        <f t="shared" ref="R18:R47" si="1">IF(G18,E18+F18,"")</f>
        <v/>
      </c>
      <c r="S18" s="481"/>
      <c r="T18" s="481"/>
    </row>
    <row r="19" spans="2:20" ht="13" x14ac:dyDescent="0.3">
      <c r="B19" s="92"/>
      <c r="C19" s="339"/>
      <c r="D19" s="340"/>
      <c r="E19" s="341"/>
      <c r="F19" s="341"/>
      <c r="G19" s="89">
        <f t="shared" si="0"/>
        <v>0</v>
      </c>
      <c r="H19" s="12" t="str">
        <f t="shared" ref="H19:H47" si="2">IF(G19,G19-$G$18,"")</f>
        <v/>
      </c>
      <c r="I19" s="8"/>
      <c r="K19" s="8"/>
      <c r="L19" s="8"/>
      <c r="M19" s="8"/>
      <c r="N19" s="8"/>
      <c r="O19" s="94"/>
      <c r="Q19" s="481"/>
      <c r="R19" s="483" t="str">
        <f t="shared" si="1"/>
        <v/>
      </c>
      <c r="S19" s="481"/>
      <c r="T19" s="481"/>
    </row>
    <row r="20" spans="2:20" ht="13" x14ac:dyDescent="0.3">
      <c r="B20" s="92"/>
      <c r="C20" s="347"/>
      <c r="D20" s="348"/>
      <c r="E20" s="349"/>
      <c r="F20" s="349"/>
      <c r="G20" s="350">
        <f t="shared" si="0"/>
        <v>0</v>
      </c>
      <c r="H20" s="351" t="str">
        <f t="shared" si="2"/>
        <v/>
      </c>
      <c r="I20" s="8">
        <v>2</v>
      </c>
      <c r="K20" s="8"/>
      <c r="L20" s="8"/>
      <c r="M20" s="8"/>
      <c r="N20" s="8"/>
      <c r="O20" s="94"/>
      <c r="Q20" s="481"/>
      <c r="R20" s="483" t="str">
        <f t="shared" si="1"/>
        <v/>
      </c>
      <c r="S20" s="481"/>
      <c r="T20" s="481"/>
    </row>
    <row r="21" spans="2:20" ht="13" x14ac:dyDescent="0.3">
      <c r="B21" s="92"/>
      <c r="C21" s="347"/>
      <c r="D21" s="348"/>
      <c r="E21" s="349"/>
      <c r="F21" s="349"/>
      <c r="G21" s="350">
        <f t="shared" si="0"/>
        <v>0</v>
      </c>
      <c r="H21" s="351" t="str">
        <f t="shared" si="2"/>
        <v/>
      </c>
      <c r="I21" s="8"/>
      <c r="K21" s="8"/>
      <c r="L21" s="8"/>
      <c r="M21" s="8"/>
      <c r="N21" s="8"/>
      <c r="O21" s="94"/>
      <c r="Q21" s="481"/>
      <c r="R21" s="483" t="str">
        <f t="shared" si="1"/>
        <v/>
      </c>
      <c r="S21" s="481"/>
      <c r="T21" s="481"/>
    </row>
    <row r="22" spans="2:20" ht="13" x14ac:dyDescent="0.3">
      <c r="B22" s="92"/>
      <c r="C22" s="339"/>
      <c r="D22" s="340"/>
      <c r="E22" s="341"/>
      <c r="F22" s="341"/>
      <c r="G22" s="89">
        <f t="shared" si="0"/>
        <v>0</v>
      </c>
      <c r="H22" s="12" t="str">
        <f t="shared" si="2"/>
        <v/>
      </c>
      <c r="I22" s="8">
        <v>3</v>
      </c>
      <c r="K22" s="8"/>
      <c r="L22" s="8"/>
      <c r="M22" s="8"/>
      <c r="N22" s="8"/>
      <c r="O22" s="94"/>
      <c r="Q22" s="481"/>
      <c r="R22" s="483" t="str">
        <f t="shared" si="1"/>
        <v/>
      </c>
      <c r="S22" s="481"/>
      <c r="T22" s="481"/>
    </row>
    <row r="23" spans="2:20" ht="13" x14ac:dyDescent="0.3">
      <c r="B23" s="92"/>
      <c r="C23" s="339"/>
      <c r="D23" s="340"/>
      <c r="E23" s="341"/>
      <c r="F23" s="341"/>
      <c r="G23" s="89">
        <f t="shared" si="0"/>
        <v>0</v>
      </c>
      <c r="H23" s="12" t="str">
        <f t="shared" si="2"/>
        <v/>
      </c>
      <c r="I23" s="8"/>
      <c r="K23" s="8"/>
      <c r="L23" s="8"/>
      <c r="M23" s="8"/>
      <c r="N23" s="8"/>
      <c r="O23" s="94"/>
      <c r="Q23" s="481"/>
      <c r="R23" s="483" t="str">
        <f t="shared" si="1"/>
        <v/>
      </c>
      <c r="S23" s="481"/>
      <c r="T23" s="481"/>
    </row>
    <row r="24" spans="2:20" ht="13" x14ac:dyDescent="0.3">
      <c r="B24" s="92"/>
      <c r="C24" s="347"/>
      <c r="D24" s="348"/>
      <c r="E24" s="349"/>
      <c r="F24" s="349"/>
      <c r="G24" s="350">
        <f t="shared" si="0"/>
        <v>0</v>
      </c>
      <c r="H24" s="351" t="str">
        <f t="shared" si="2"/>
        <v/>
      </c>
      <c r="I24" s="8">
        <v>4</v>
      </c>
      <c r="K24" s="8"/>
      <c r="L24" s="8"/>
      <c r="M24" s="8"/>
      <c r="N24" s="8"/>
      <c r="O24" s="94"/>
      <c r="Q24" s="481"/>
      <c r="R24" s="483" t="str">
        <f t="shared" si="1"/>
        <v/>
      </c>
      <c r="S24" s="481"/>
      <c r="T24" s="481"/>
    </row>
    <row r="25" spans="2:20" ht="13" x14ac:dyDescent="0.3">
      <c r="B25" s="92"/>
      <c r="C25" s="347"/>
      <c r="D25" s="348"/>
      <c r="E25" s="349"/>
      <c r="F25" s="349"/>
      <c r="G25" s="350">
        <f t="shared" si="0"/>
        <v>0</v>
      </c>
      <c r="H25" s="351" t="str">
        <f t="shared" si="2"/>
        <v/>
      </c>
      <c r="I25" s="8"/>
      <c r="K25" s="8"/>
      <c r="L25" s="8"/>
      <c r="M25" s="8"/>
      <c r="N25" s="8"/>
      <c r="O25" s="94"/>
      <c r="Q25" s="481"/>
      <c r="R25" s="483" t="str">
        <f t="shared" si="1"/>
        <v/>
      </c>
      <c r="S25" s="481"/>
      <c r="T25" s="481"/>
    </row>
    <row r="26" spans="2:20" ht="13" x14ac:dyDescent="0.3">
      <c r="B26" s="92"/>
      <c r="C26" s="342"/>
      <c r="D26" s="340"/>
      <c r="E26" s="341"/>
      <c r="F26" s="341"/>
      <c r="G26" s="89">
        <f t="shared" si="0"/>
        <v>0</v>
      </c>
      <c r="H26" s="12" t="str">
        <f t="shared" si="2"/>
        <v/>
      </c>
      <c r="I26" s="8">
        <v>5</v>
      </c>
      <c r="K26" s="8"/>
      <c r="L26" s="8"/>
      <c r="M26" s="8"/>
      <c r="N26" s="8"/>
      <c r="O26" s="94"/>
      <c r="Q26" s="481"/>
      <c r="R26" s="483" t="str">
        <f t="shared" si="1"/>
        <v/>
      </c>
      <c r="S26" s="481"/>
      <c r="T26" s="481"/>
    </row>
    <row r="27" spans="2:20" ht="13" x14ac:dyDescent="0.3">
      <c r="B27" s="92"/>
      <c r="C27" s="342"/>
      <c r="D27" s="340"/>
      <c r="E27" s="341"/>
      <c r="F27" s="341"/>
      <c r="G27" s="89">
        <f t="shared" si="0"/>
        <v>0</v>
      </c>
      <c r="H27" s="12" t="str">
        <f t="shared" si="2"/>
        <v/>
      </c>
      <c r="I27" s="8"/>
      <c r="K27" s="8"/>
      <c r="L27" s="8"/>
      <c r="M27" s="8"/>
      <c r="N27" s="8"/>
      <c r="O27" s="94"/>
      <c r="Q27" s="481"/>
      <c r="R27" s="483" t="str">
        <f t="shared" si="1"/>
        <v/>
      </c>
      <c r="S27" s="481"/>
      <c r="T27" s="481"/>
    </row>
    <row r="28" spans="2:20" ht="13" x14ac:dyDescent="0.3">
      <c r="B28" s="92"/>
      <c r="C28" s="347"/>
      <c r="D28" s="348"/>
      <c r="E28" s="349"/>
      <c r="F28" s="349"/>
      <c r="G28" s="350">
        <f t="shared" si="0"/>
        <v>0</v>
      </c>
      <c r="H28" s="351" t="str">
        <f t="shared" si="2"/>
        <v/>
      </c>
      <c r="I28" s="8">
        <v>6</v>
      </c>
      <c r="K28" s="8"/>
      <c r="L28" s="8"/>
      <c r="M28" s="8"/>
      <c r="N28" s="8"/>
      <c r="O28" s="94"/>
      <c r="Q28" s="481"/>
      <c r="R28" s="483" t="str">
        <f t="shared" si="1"/>
        <v/>
      </c>
      <c r="S28" s="481"/>
      <c r="T28" s="481"/>
    </row>
    <row r="29" spans="2:20" ht="13" x14ac:dyDescent="0.3">
      <c r="B29" s="92"/>
      <c r="C29" s="347"/>
      <c r="D29" s="348"/>
      <c r="E29" s="349"/>
      <c r="F29" s="349"/>
      <c r="G29" s="350">
        <f t="shared" si="0"/>
        <v>0</v>
      </c>
      <c r="H29" s="351" t="str">
        <f t="shared" si="2"/>
        <v/>
      </c>
      <c r="I29" s="8"/>
      <c r="K29" s="8"/>
      <c r="L29" s="8"/>
      <c r="M29" s="8"/>
      <c r="N29" s="8"/>
      <c r="O29" s="94"/>
      <c r="Q29" s="481"/>
      <c r="R29" s="483" t="str">
        <f t="shared" si="1"/>
        <v/>
      </c>
      <c r="S29" s="481"/>
      <c r="T29" s="481"/>
    </row>
    <row r="30" spans="2:20" ht="13" x14ac:dyDescent="0.3">
      <c r="B30" s="92"/>
      <c r="C30" s="342"/>
      <c r="D30" s="340"/>
      <c r="E30" s="341"/>
      <c r="F30" s="343"/>
      <c r="G30" s="89">
        <f t="shared" si="0"/>
        <v>0</v>
      </c>
      <c r="H30" s="12" t="str">
        <f t="shared" si="2"/>
        <v/>
      </c>
      <c r="I30" s="8">
        <v>7</v>
      </c>
      <c r="K30" s="8"/>
      <c r="L30" s="8"/>
      <c r="M30" s="8"/>
      <c r="N30" s="8"/>
      <c r="O30" s="94"/>
      <c r="Q30" s="481"/>
      <c r="R30" s="483" t="str">
        <f t="shared" si="1"/>
        <v/>
      </c>
      <c r="S30" s="481"/>
      <c r="T30" s="481"/>
    </row>
    <row r="31" spans="2:20" ht="13" x14ac:dyDescent="0.3">
      <c r="B31" s="92"/>
      <c r="C31" s="342"/>
      <c r="D31" s="340"/>
      <c r="E31" s="341"/>
      <c r="F31" s="341"/>
      <c r="G31" s="89">
        <f t="shared" si="0"/>
        <v>0</v>
      </c>
      <c r="H31" s="12" t="str">
        <f t="shared" si="2"/>
        <v/>
      </c>
      <c r="I31" s="8"/>
      <c r="K31" s="8"/>
      <c r="L31" s="8"/>
      <c r="M31" s="8"/>
      <c r="N31" s="8"/>
      <c r="O31" s="94"/>
      <c r="Q31" s="481"/>
      <c r="R31" s="483" t="str">
        <f t="shared" si="1"/>
        <v/>
      </c>
      <c r="S31" s="481"/>
      <c r="T31" s="481"/>
    </row>
    <row r="32" spans="2:20" ht="13" x14ac:dyDescent="0.3">
      <c r="B32" s="92"/>
      <c r="C32" s="347"/>
      <c r="D32" s="348"/>
      <c r="E32" s="349"/>
      <c r="F32" s="349"/>
      <c r="G32" s="350">
        <f t="shared" si="0"/>
        <v>0</v>
      </c>
      <c r="H32" s="351" t="str">
        <f t="shared" si="2"/>
        <v/>
      </c>
      <c r="I32" s="8">
        <v>8</v>
      </c>
      <c r="K32" s="8"/>
      <c r="L32" s="8"/>
      <c r="M32" s="8"/>
      <c r="N32" s="8"/>
      <c r="O32" s="94"/>
      <c r="Q32" s="481"/>
      <c r="R32" s="483" t="str">
        <f t="shared" si="1"/>
        <v/>
      </c>
      <c r="S32" s="481"/>
      <c r="T32" s="481"/>
    </row>
    <row r="33" spans="2:20" ht="13" x14ac:dyDescent="0.3">
      <c r="B33" s="92"/>
      <c r="C33" s="347"/>
      <c r="D33" s="348"/>
      <c r="E33" s="349"/>
      <c r="F33" s="349"/>
      <c r="G33" s="350">
        <f t="shared" si="0"/>
        <v>0</v>
      </c>
      <c r="H33" s="351" t="str">
        <f t="shared" si="2"/>
        <v/>
      </c>
      <c r="I33" s="8"/>
      <c r="K33" s="8"/>
      <c r="L33" s="8"/>
      <c r="M33" s="8"/>
      <c r="N33" s="8"/>
      <c r="O33" s="94"/>
      <c r="Q33" s="481"/>
      <c r="R33" s="483" t="str">
        <f t="shared" si="1"/>
        <v/>
      </c>
      <c r="S33" s="481"/>
      <c r="T33" s="481"/>
    </row>
    <row r="34" spans="2:20" ht="13" x14ac:dyDescent="0.3">
      <c r="B34" s="92"/>
      <c r="C34" s="342"/>
      <c r="D34" s="340"/>
      <c r="E34" s="341"/>
      <c r="F34" s="341"/>
      <c r="G34" s="89">
        <f t="shared" si="0"/>
        <v>0</v>
      </c>
      <c r="H34" s="12" t="str">
        <f t="shared" si="2"/>
        <v/>
      </c>
      <c r="I34" s="8">
        <v>9</v>
      </c>
      <c r="K34" s="8"/>
      <c r="L34" s="8"/>
      <c r="M34" s="8"/>
      <c r="N34" s="8"/>
      <c r="O34" s="94"/>
      <c r="Q34" s="481"/>
      <c r="R34" s="483" t="str">
        <f t="shared" si="1"/>
        <v/>
      </c>
      <c r="S34" s="481"/>
      <c r="T34" s="481"/>
    </row>
    <row r="35" spans="2:20" ht="13" x14ac:dyDescent="0.3">
      <c r="B35" s="92"/>
      <c r="C35" s="342"/>
      <c r="D35" s="340"/>
      <c r="E35" s="341"/>
      <c r="F35" s="341"/>
      <c r="G35" s="89">
        <f t="shared" si="0"/>
        <v>0</v>
      </c>
      <c r="H35" s="12" t="str">
        <f t="shared" si="2"/>
        <v/>
      </c>
      <c r="I35" s="8"/>
      <c r="K35" s="8"/>
      <c r="L35" s="8"/>
      <c r="M35" s="8"/>
      <c r="N35" s="8"/>
      <c r="O35" s="94"/>
      <c r="Q35" s="481"/>
      <c r="R35" s="483" t="str">
        <f t="shared" si="1"/>
        <v/>
      </c>
      <c r="S35" s="481"/>
      <c r="T35" s="481"/>
    </row>
    <row r="36" spans="2:20" ht="13" x14ac:dyDescent="0.3">
      <c r="B36" s="92"/>
      <c r="C36" s="347"/>
      <c r="D36" s="348"/>
      <c r="E36" s="349"/>
      <c r="F36" s="349"/>
      <c r="G36" s="350">
        <f t="shared" si="0"/>
        <v>0</v>
      </c>
      <c r="H36" s="351" t="str">
        <f t="shared" si="2"/>
        <v/>
      </c>
      <c r="I36" s="8">
        <v>10</v>
      </c>
      <c r="K36" s="8"/>
      <c r="L36" s="8"/>
      <c r="M36" s="8"/>
      <c r="N36" s="8"/>
      <c r="O36" s="94"/>
      <c r="Q36" s="481"/>
      <c r="R36" s="483" t="str">
        <f t="shared" si="1"/>
        <v/>
      </c>
      <c r="S36" s="481"/>
      <c r="T36" s="481"/>
    </row>
    <row r="37" spans="2:20" ht="13" x14ac:dyDescent="0.3">
      <c r="B37" s="92"/>
      <c r="C37" s="347"/>
      <c r="D37" s="348"/>
      <c r="E37" s="349"/>
      <c r="F37" s="349"/>
      <c r="G37" s="350">
        <f t="shared" si="0"/>
        <v>0</v>
      </c>
      <c r="H37" s="351" t="str">
        <f t="shared" si="2"/>
        <v/>
      </c>
      <c r="I37" s="8"/>
      <c r="K37" s="8"/>
      <c r="L37" s="8"/>
      <c r="M37" s="8"/>
      <c r="N37" s="8"/>
      <c r="O37" s="94"/>
      <c r="Q37" s="481"/>
      <c r="R37" s="483" t="str">
        <f t="shared" si="1"/>
        <v/>
      </c>
      <c r="S37" s="481"/>
      <c r="T37" s="481"/>
    </row>
    <row r="38" spans="2:20" ht="13" x14ac:dyDescent="0.3">
      <c r="B38" s="92"/>
      <c r="C38" s="342"/>
      <c r="D38" s="340"/>
      <c r="E38" s="341"/>
      <c r="F38" s="341"/>
      <c r="G38" s="89">
        <f t="shared" si="0"/>
        <v>0</v>
      </c>
      <c r="H38" s="12" t="str">
        <f t="shared" si="2"/>
        <v/>
      </c>
      <c r="I38" s="8">
        <v>11</v>
      </c>
      <c r="K38" s="424"/>
      <c r="L38" s="8"/>
      <c r="M38" s="8"/>
      <c r="N38" s="8"/>
      <c r="O38" s="94"/>
      <c r="Q38" s="481"/>
      <c r="R38" s="483" t="str">
        <f t="shared" si="1"/>
        <v/>
      </c>
      <c r="S38" s="481"/>
      <c r="T38" s="481"/>
    </row>
    <row r="39" spans="2:20" ht="13" x14ac:dyDescent="0.3">
      <c r="B39" s="92"/>
      <c r="C39" s="342"/>
      <c r="D39" s="340"/>
      <c r="E39" s="341"/>
      <c r="F39" s="341"/>
      <c r="G39" s="89">
        <f t="shared" si="0"/>
        <v>0</v>
      </c>
      <c r="H39" s="12" t="str">
        <f t="shared" si="2"/>
        <v/>
      </c>
      <c r="I39" s="8"/>
      <c r="K39" s="486"/>
      <c r="L39" s="8"/>
      <c r="M39" s="8"/>
      <c r="N39" s="8"/>
      <c r="O39" s="94"/>
      <c r="Q39" s="481"/>
      <c r="R39" s="483" t="str">
        <f t="shared" si="1"/>
        <v/>
      </c>
      <c r="S39" s="481"/>
      <c r="T39" s="481"/>
    </row>
    <row r="40" spans="2:20" ht="13" x14ac:dyDescent="0.3">
      <c r="B40" s="92"/>
      <c r="C40" s="347"/>
      <c r="D40" s="348"/>
      <c r="E40" s="349"/>
      <c r="F40" s="349"/>
      <c r="G40" s="350">
        <f t="shared" si="0"/>
        <v>0</v>
      </c>
      <c r="H40" s="351" t="str">
        <f t="shared" si="2"/>
        <v/>
      </c>
      <c r="I40" s="8">
        <v>12</v>
      </c>
      <c r="K40" s="486"/>
      <c r="L40" s="8"/>
      <c r="M40" s="8"/>
      <c r="N40" s="8"/>
      <c r="O40" s="94"/>
      <c r="Q40" s="481"/>
      <c r="R40" s="483" t="str">
        <f t="shared" si="1"/>
        <v/>
      </c>
      <c r="S40" s="481"/>
      <c r="T40" s="481"/>
    </row>
    <row r="41" spans="2:20" ht="13" x14ac:dyDescent="0.3">
      <c r="B41" s="92"/>
      <c r="C41" s="347"/>
      <c r="D41" s="348"/>
      <c r="E41" s="349"/>
      <c r="F41" s="349"/>
      <c r="G41" s="350">
        <f t="shared" si="0"/>
        <v>0</v>
      </c>
      <c r="H41" s="351" t="str">
        <f t="shared" si="2"/>
        <v/>
      </c>
      <c r="I41" s="8"/>
      <c r="K41" s="424"/>
      <c r="L41" s="8"/>
      <c r="M41" s="8"/>
      <c r="N41" s="8"/>
      <c r="O41" s="94"/>
      <c r="Q41" s="481"/>
      <c r="R41" s="483" t="str">
        <f t="shared" si="1"/>
        <v/>
      </c>
      <c r="S41" s="481"/>
      <c r="T41" s="481"/>
    </row>
    <row r="42" spans="2:20" ht="13" x14ac:dyDescent="0.3">
      <c r="B42" s="92"/>
      <c r="C42" s="342"/>
      <c r="D42" s="340"/>
      <c r="E42" s="341"/>
      <c r="F42" s="341"/>
      <c r="G42" s="89">
        <f t="shared" si="0"/>
        <v>0</v>
      </c>
      <c r="H42" s="12" t="str">
        <f t="shared" si="2"/>
        <v/>
      </c>
      <c r="I42" s="8">
        <v>13</v>
      </c>
      <c r="K42" s="8"/>
      <c r="L42" s="8"/>
      <c r="M42" s="8"/>
      <c r="N42" s="8"/>
      <c r="O42" s="94"/>
      <c r="Q42" s="481"/>
      <c r="R42" s="483" t="str">
        <f t="shared" si="1"/>
        <v/>
      </c>
      <c r="S42" s="481"/>
      <c r="T42" s="481"/>
    </row>
    <row r="43" spans="2:20" ht="13" x14ac:dyDescent="0.3">
      <c r="B43" s="92"/>
      <c r="C43" s="342"/>
      <c r="D43" s="340"/>
      <c r="E43" s="341"/>
      <c r="F43" s="341"/>
      <c r="G43" s="89">
        <f t="shared" si="0"/>
        <v>0</v>
      </c>
      <c r="H43" s="12" t="str">
        <f t="shared" si="2"/>
        <v/>
      </c>
      <c r="I43" s="8"/>
      <c r="K43" s="8"/>
      <c r="L43" s="8"/>
      <c r="M43" s="8"/>
      <c r="N43" s="8"/>
      <c r="O43" s="94"/>
      <c r="Q43" s="481"/>
      <c r="R43" s="483" t="str">
        <f t="shared" si="1"/>
        <v/>
      </c>
      <c r="S43" s="481"/>
      <c r="T43" s="481"/>
    </row>
    <row r="44" spans="2:20" ht="13" x14ac:dyDescent="0.3">
      <c r="B44" s="92"/>
      <c r="C44" s="347"/>
      <c r="D44" s="348"/>
      <c r="E44" s="349"/>
      <c r="F44" s="349"/>
      <c r="G44" s="350">
        <f t="shared" si="0"/>
        <v>0</v>
      </c>
      <c r="H44" s="351" t="str">
        <f t="shared" si="2"/>
        <v/>
      </c>
      <c r="I44" s="8">
        <v>14</v>
      </c>
      <c r="K44" s="8"/>
      <c r="L44" s="8"/>
      <c r="M44" s="8"/>
      <c r="N44" s="8"/>
      <c r="O44" s="94"/>
      <c r="Q44" s="481"/>
      <c r="R44" s="483" t="str">
        <f t="shared" si="1"/>
        <v/>
      </c>
      <c r="S44" s="481"/>
      <c r="T44" s="481"/>
    </row>
    <row r="45" spans="2:20" ht="13" x14ac:dyDescent="0.3">
      <c r="B45" s="92"/>
      <c r="C45" s="347"/>
      <c r="D45" s="348"/>
      <c r="E45" s="349"/>
      <c r="F45" s="349"/>
      <c r="G45" s="350">
        <f t="shared" si="0"/>
        <v>0</v>
      </c>
      <c r="H45" s="351" t="str">
        <f t="shared" si="2"/>
        <v/>
      </c>
      <c r="I45" s="8"/>
      <c r="L45" s="8"/>
      <c r="M45" s="8"/>
      <c r="N45" s="8"/>
      <c r="O45" s="94"/>
      <c r="Q45" s="481"/>
      <c r="R45" s="483" t="str">
        <f t="shared" si="1"/>
        <v/>
      </c>
      <c r="S45" s="481"/>
      <c r="T45" s="481"/>
    </row>
    <row r="46" spans="2:20" ht="13" x14ac:dyDescent="0.3">
      <c r="B46" s="92"/>
      <c r="C46" s="342"/>
      <c r="D46" s="340"/>
      <c r="E46" s="341"/>
      <c r="F46" s="341"/>
      <c r="G46" s="89">
        <f t="shared" si="0"/>
        <v>0</v>
      </c>
      <c r="H46" s="12" t="str">
        <f t="shared" si="2"/>
        <v/>
      </c>
      <c r="I46" s="8">
        <v>15</v>
      </c>
      <c r="L46" s="8"/>
      <c r="M46" s="8"/>
      <c r="N46" s="8"/>
      <c r="O46" s="94"/>
      <c r="Q46" s="481"/>
      <c r="R46" s="483" t="str">
        <f t="shared" si="1"/>
        <v/>
      </c>
      <c r="S46" s="481"/>
      <c r="T46" s="481"/>
    </row>
    <row r="47" spans="2:20" ht="13" x14ac:dyDescent="0.3">
      <c r="B47" s="92"/>
      <c r="C47" s="342"/>
      <c r="D47" s="340"/>
      <c r="E47" s="341"/>
      <c r="F47" s="341"/>
      <c r="G47" s="89">
        <f t="shared" si="0"/>
        <v>0</v>
      </c>
      <c r="H47" s="12" t="str">
        <f t="shared" si="2"/>
        <v/>
      </c>
      <c r="I47" s="8"/>
      <c r="L47" s="8"/>
      <c r="M47" s="8"/>
      <c r="N47" s="8"/>
      <c r="O47" s="94"/>
      <c r="Q47" s="481"/>
      <c r="R47" s="483" t="str">
        <f t="shared" si="1"/>
        <v/>
      </c>
      <c r="S47" s="481"/>
      <c r="T47" s="481"/>
    </row>
    <row r="48" spans="2:20" ht="13" x14ac:dyDescent="0.3">
      <c r="B48" s="92"/>
      <c r="C48" s="8"/>
      <c r="D48" s="8"/>
      <c r="E48" s="430" t="str">
        <f>IF(COUNT(E16:E47)=COUNT(F16:F47),"", "Please enter complete fill periods (i.e., equal number of min and max levels)!")</f>
        <v/>
      </c>
      <c r="F48" s="428"/>
      <c r="G48" s="8"/>
      <c r="H48" s="8"/>
      <c r="I48" s="8"/>
      <c r="J48" s="8"/>
      <c r="L48" s="8"/>
      <c r="M48" s="8"/>
      <c r="N48" s="8"/>
      <c r="O48" s="94"/>
      <c r="Q48" s="481"/>
      <c r="R48" s="481"/>
      <c r="S48" s="481"/>
      <c r="T48" s="481"/>
    </row>
    <row r="49" spans="2:20" ht="27" customHeight="1" thickBot="1" x14ac:dyDescent="0.35">
      <c r="B49" s="92"/>
      <c r="C49" s="8"/>
      <c r="D49" s="8"/>
      <c r="E49" s="429"/>
      <c r="F49" s="429"/>
      <c r="G49" s="8"/>
      <c r="H49" s="8"/>
      <c r="I49" s="8"/>
      <c r="J49" s="8"/>
      <c r="L49" s="8"/>
      <c r="M49" s="8"/>
      <c r="N49" s="8"/>
      <c r="O49" s="94"/>
      <c r="Q49" s="481"/>
      <c r="R49" s="481"/>
      <c r="S49" s="481"/>
      <c r="T49" s="481"/>
    </row>
    <row r="50" spans="2:20" x14ac:dyDescent="0.25">
      <c r="B50" s="92"/>
      <c r="C50" s="17" t="s">
        <v>0</v>
      </c>
      <c r="D50" s="18" t="str">
        <f>IF(D8="y","Vol at Start of Fill","Low/Min Level")</f>
        <v>Low/Min Level</v>
      </c>
      <c r="E50" s="18" t="str">
        <f>IF(D8="y","Vol at End of Fill","High/Max Level")</f>
        <v>High/Max Level</v>
      </c>
      <c r="F50" s="18" t="s">
        <v>13</v>
      </c>
      <c r="G50" s="67" t="s">
        <v>16</v>
      </c>
      <c r="H50" s="18" t="s">
        <v>41</v>
      </c>
      <c r="I50" s="70" t="s">
        <v>6</v>
      </c>
      <c r="J50" s="433" t="s">
        <v>11</v>
      </c>
      <c r="K50" s="434"/>
      <c r="L50" s="435"/>
      <c r="M50" s="51"/>
      <c r="N50" s="52"/>
      <c r="O50" s="94"/>
      <c r="P50" s="487"/>
      <c r="Q50" s="481"/>
      <c r="R50" s="481"/>
      <c r="S50" s="481"/>
      <c r="T50" s="481"/>
    </row>
    <row r="51" spans="2:20" ht="12.75" customHeight="1" x14ac:dyDescent="0.25">
      <c r="B51" s="92"/>
      <c r="C51" s="19"/>
      <c r="D51" s="20"/>
      <c r="E51" s="20"/>
      <c r="F51" s="20" t="s">
        <v>14</v>
      </c>
      <c r="G51" s="68" t="s">
        <v>15</v>
      </c>
      <c r="H51" s="20" t="s">
        <v>42</v>
      </c>
      <c r="I51" s="71" t="s">
        <v>15</v>
      </c>
      <c r="J51" s="20" t="s">
        <v>9</v>
      </c>
      <c r="K51" s="493" t="s">
        <v>232</v>
      </c>
      <c r="L51" s="46" t="s">
        <v>12</v>
      </c>
      <c r="M51" s="20" t="s">
        <v>24</v>
      </c>
      <c r="N51" s="23" t="s">
        <v>25</v>
      </c>
      <c r="O51" s="94"/>
      <c r="P51" s="8"/>
      <c r="Q51" s="481"/>
      <c r="R51" s="481"/>
      <c r="S51" s="481"/>
      <c r="T51" s="481"/>
    </row>
    <row r="52" spans="2:20" ht="26.25" customHeight="1" thickBot="1" x14ac:dyDescent="0.3">
      <c r="B52" s="92"/>
      <c r="C52" s="21"/>
      <c r="D52" s="22" t="str">
        <f>IF(D8="y","(gal)","(ft)")</f>
        <v>(ft)</v>
      </c>
      <c r="E52" s="22" t="str">
        <f>IF(D8="y","(gal)","(ft)")</f>
        <v>(ft)</v>
      </c>
      <c r="F52" s="22" t="s">
        <v>17</v>
      </c>
      <c r="G52" s="69" t="s">
        <v>17</v>
      </c>
      <c r="H52" s="22" t="s">
        <v>17</v>
      </c>
      <c r="I52" s="72" t="s">
        <v>17</v>
      </c>
      <c r="J52" s="305" t="s">
        <v>32</v>
      </c>
      <c r="K52" s="491" t="s">
        <v>233</v>
      </c>
      <c r="L52" s="305" t="s">
        <v>32</v>
      </c>
      <c r="M52" s="22" t="s">
        <v>58</v>
      </c>
      <c r="N52" s="87" t="s">
        <v>58</v>
      </c>
      <c r="O52" s="94"/>
      <c r="Q52" s="481"/>
      <c r="R52" s="481"/>
      <c r="S52" s="481"/>
      <c r="T52" s="481"/>
    </row>
    <row r="53" spans="2:20" ht="13" thickTop="1" x14ac:dyDescent="0.25">
      <c r="B53" s="92">
        <f t="shared" ref="B53:B67" si="3">IF(D53=0,0,1)</f>
        <v>0</v>
      </c>
      <c r="C53" s="73">
        <v>1</v>
      </c>
      <c r="D53" s="74">
        <f>IF(ISBLANK(E18),E19,E18)</f>
        <v>0</v>
      </c>
      <c r="E53" s="74">
        <f>IF(ISBLANK(F18),F19,F18)</f>
        <v>0</v>
      </c>
      <c r="F53" s="86" t="str">
        <f>IF(OR($D$7="c",$D$7="h"),($D53)*PI()*($D$10/2)^2*7.48/10^6,IF($D$7="r",$D53*$D$10*$D$11*7.48/10^6,IF($D$8="y",$D53/10^6,"error")))</f>
        <v>error</v>
      </c>
      <c r="G53" s="86" t="str">
        <f>IF(OR($D$7="c",$D$7="h"),($E53-$D53)*PI()*($D$10/2)^2*7.48/10^6,IF($D$7="r",($E53-$D53)*$D$10*$D$11*7.48/10^6,IF($D$8="y",($E53-$D53)/10^6,"error")))</f>
        <v>error</v>
      </c>
      <c r="H53" s="49"/>
      <c r="I53" s="75" t="str">
        <f>IF(D53+E53=0,"n/a",IF(OR($D$7="c",$D$7="h"),((D53+E53)/2)*PI()*($D$10/2)^2*7.48/10^6,IF($D$7="r",((D53+E53)/2)*$D$10*$D$11*7.48/10^6,IF($D$8="y",((D53+E53)/2)/10^6,""))))</f>
        <v>n/a</v>
      </c>
      <c r="J53" s="49" t="e">
        <f t="shared" ref="J53:J67" si="4">IF(G53=0,"n/a",G53/F53)</f>
        <v>#VALUE!</v>
      </c>
      <c r="K53" s="492" t="str">
        <f>IF(AND('Tank Summary'!$Q$16="y",'Tank Summary'!$Q$15 = "n"), IF(E53&lt;=$D$10, 10.2, 3.58*(E53/$D$10)+6.66), IF(AND('Tank Summary'!$Q$16="y", 'Tank Summary'!$Q$15="y"),IF(E53 &lt;= (PI()/4)*$D$10^3, 10.2, 3.58*(E53/$D$12)+6.66), "Tank mixing equations do not apply"))</f>
        <v>Tank mixing equations do not apply</v>
      </c>
      <c r="L53" s="76" t="e">
        <f>IF(F53=0,"n/a",((K53/1.13)*$D$13)/((F53*10^6/7.48)^(1/3)))</f>
        <v>#VALUE!</v>
      </c>
      <c r="M53" s="49" t="str">
        <f>IF(ISERROR(H19-H18),"n/a",IF(ISBLANK(E18), "n/a",H19-H18))</f>
        <v>n/a</v>
      </c>
      <c r="N53" s="50" t="str">
        <f>IF(ISERROR(H19-H18),"n/a",IF(ISBLANK(E18), H19-H18,"n/a"))</f>
        <v>n/a</v>
      </c>
      <c r="O53" s="94"/>
      <c r="Q53" s="481"/>
      <c r="R53" s="481"/>
      <c r="S53" s="481"/>
      <c r="T53" s="481"/>
    </row>
    <row r="54" spans="2:20" x14ac:dyDescent="0.25">
      <c r="B54" s="92">
        <f t="shared" si="3"/>
        <v>0</v>
      </c>
      <c r="C54" s="77">
        <v>2</v>
      </c>
      <c r="D54" s="74">
        <f>IF(ISBLANK(E20),E21,E20)</f>
        <v>0</v>
      </c>
      <c r="E54" s="74">
        <f>IF(ISBLANK(F20),F21,F20)</f>
        <v>0</v>
      </c>
      <c r="F54" s="32" t="str">
        <f>IF(OR($D$7="c",$D$7="h"),($D54)*PI()*($D$10/2)^2*7.48/10^6,IF($D$7="r",$D54*$D$10*$D$11*7.48/10^6,IF($D$8="y",$D54/10^6,"error")))</f>
        <v>error</v>
      </c>
      <c r="G54" s="32" t="str">
        <f>IF(OR($D$7="c",$D$7="h"),($E54-$D54)*PI()*($D$10/2)^2*7.48/10^6,IF($D$7="r",($E54-$D54)*$D$10*$D$11*7.48/10^6,IF($D$8="y",($E54-$D54)/10^6,"error")))</f>
        <v>error</v>
      </c>
      <c r="H54" s="49" t="str">
        <f>IF(D54,IF(OR($D$7="c",$D$7="h"),($E53-$D54)*PI()*($D$10/2)^2*7.48/10^6,IF($D$7="r",($E53-$D54)*$D$10*$D$11*7.48/10^6,IF($D$8="y",($E53-$D54)/10^6,""))),"")</f>
        <v/>
      </c>
      <c r="I54" s="75" t="str">
        <f>IF(D54+E54=0,"n/a",IF(OR($D$7="c",$D$7="h"),((D54+E54)/2)*PI()*($D$10/2)^2*7.48/10^6,IF($D$7="r",((D54+E54)/2)*$D$10*$D$11*7.48/10^6,IF($D$8="y",((D54+E54)/2)/10^6,""))))</f>
        <v>n/a</v>
      </c>
      <c r="J54" s="11" t="e">
        <f t="shared" si="4"/>
        <v>#VALUE!</v>
      </c>
      <c r="K54" s="492" t="str">
        <f>IF(AND('Tank Summary'!$Q$16="y",'Tank Summary'!$Q$15 = "n"), IF(E54&lt;=$D$10, 10.2, 3.58*(E54/$D$10)+6.66), IF(AND('Tank Summary'!$Q$16="y", 'Tank Summary'!$Q$15="y"),IF(E54 &lt;= (PI()/4)*$D$10^3, 10.2, 3.58*(E54/$D$12)+6.66), "Tank mixing equations do not apply"))</f>
        <v>Tank mixing equations do not apply</v>
      </c>
      <c r="L54" s="76" t="e">
        <f t="shared" ref="L54:L67" si="5">IF(F54=0,"n/a",((K54/1.13)*$D$13)/((F54*10^6/7.48)^(1/3)))</f>
        <v>#VALUE!</v>
      </c>
      <c r="M54" s="11" t="str">
        <f>IF(ISERROR(H21-H20),"n/a",IF(ISBLANK(E20), H20-H19,H21-H20))</f>
        <v>n/a</v>
      </c>
      <c r="N54" s="47" t="str">
        <f>IF(ISERROR(H21-H20),"n/a",IF(ISBLANK(E20), H21-H20,H20-H19))</f>
        <v>n/a</v>
      </c>
      <c r="O54" s="94"/>
      <c r="Q54" s="481"/>
      <c r="R54" s="481"/>
      <c r="S54" s="481"/>
      <c r="T54" s="481"/>
    </row>
    <row r="55" spans="2:20" x14ac:dyDescent="0.25">
      <c r="B55" s="92">
        <f t="shared" si="3"/>
        <v>0</v>
      </c>
      <c r="C55" s="77">
        <v>3</v>
      </c>
      <c r="D55" s="74">
        <f>IF(ISBLANK(E22),E23,E22)</f>
        <v>0</v>
      </c>
      <c r="E55" s="74">
        <f>IF(ISBLANK(F22),F23,F22)</f>
        <v>0</v>
      </c>
      <c r="F55" s="32" t="str">
        <f t="shared" ref="F55:F67" si="6">IF(OR($D$7="c",$D$7="h"),($D55)*PI()*($D$10/2)^2*7.48/10^6,IF($D$7="r",$D55*$D$10*$D$11*7.48/10^6,IF($D$8="y",$D55/10^6,"error")))</f>
        <v>error</v>
      </c>
      <c r="G55" s="32" t="str">
        <f t="shared" ref="G55:G67" si="7">IF(OR($D$7="c",$D$7="h"),($E55-$D55)*PI()*($D$10/2)^2*7.48/10^6,IF($D$7="r",($E55-$D55)*$D$10*$D$11*7.48/10^6,IF($D$8="y",($E55-$D55)/10^6,"error")))</f>
        <v>error</v>
      </c>
      <c r="H55" s="49" t="str">
        <f t="shared" ref="H55:H67" si="8">IF(D55,IF(OR($D$7="c",$D$7="h"),($E54-$D55)*PI()*($D$10/2)^2*7.48/10^6,IF($D$7="r",($E54-$D55)*$D$10*$D$11*7.48/10^6,IF($D$8="y",($E54-$D55)/10^6,""))),"")</f>
        <v/>
      </c>
      <c r="I55" s="75" t="str">
        <f t="shared" ref="I55:I67" si="9">IF(D55+E55=0,"n/a",IF(OR($D$7="c",$D$7="h"),((D55+E55)/2)*PI()*($D$10/2)^2*7.48/10^6,IF($D$7="r",((D55+E55)/2)*$D$10*$D$11*7.48/10^6,IF($D$8="y",((D55+E55)/2)/10^6,""))))</f>
        <v>n/a</v>
      </c>
      <c r="J55" s="11" t="e">
        <f t="shared" si="4"/>
        <v>#VALUE!</v>
      </c>
      <c r="K55" s="492" t="str">
        <f>IF(AND('Tank Summary'!$Q$16="y",'Tank Summary'!$Q$15 = "n"), IF(E55&lt;=$D$10, 10.2, 3.58*(E55/$D$10)+6.66), IF(AND('Tank Summary'!$Q$16="y", 'Tank Summary'!$Q$15="y"),IF(E55 &lt;= (PI()/4)*$D$10^3, 10.2, 3.58*(E55/$D$12)+6.66), "Tank mixing equations do not apply"))</f>
        <v>Tank mixing equations do not apply</v>
      </c>
      <c r="L55" s="76" t="e">
        <f t="shared" si="5"/>
        <v>#VALUE!</v>
      </c>
      <c r="M55" s="11" t="str">
        <f>IF(ISERROR(H23-H22),"n/a",IF(ISBLANK(E22), H22-H21,H23-H22))</f>
        <v>n/a</v>
      </c>
      <c r="N55" s="47" t="str">
        <f>IF(ISERROR(H23-H22),"n/a",IF(ISBLANK(E22), H23-H22,H22-H21))</f>
        <v>n/a</v>
      </c>
      <c r="O55" s="94"/>
      <c r="Q55" s="481"/>
      <c r="R55" s="481"/>
      <c r="S55" s="481"/>
      <c r="T55" s="481"/>
    </row>
    <row r="56" spans="2:20" x14ac:dyDescent="0.25">
      <c r="B56" s="92">
        <f t="shared" si="3"/>
        <v>0</v>
      </c>
      <c r="C56" s="77">
        <v>4</v>
      </c>
      <c r="D56" s="74">
        <f>IF(ISBLANK(E24),E25,E24)</f>
        <v>0</v>
      </c>
      <c r="E56" s="74">
        <f>IF(ISBLANK(F24),F25,F24)</f>
        <v>0</v>
      </c>
      <c r="F56" s="32" t="str">
        <f t="shared" si="6"/>
        <v>error</v>
      </c>
      <c r="G56" s="32" t="str">
        <f t="shared" si="7"/>
        <v>error</v>
      </c>
      <c r="H56" s="49" t="str">
        <f t="shared" si="8"/>
        <v/>
      </c>
      <c r="I56" s="75" t="str">
        <f t="shared" si="9"/>
        <v>n/a</v>
      </c>
      <c r="J56" s="11" t="e">
        <f t="shared" si="4"/>
        <v>#VALUE!</v>
      </c>
      <c r="K56" s="492" t="str">
        <f>IF(AND('Tank Summary'!$Q$16="y",'Tank Summary'!$Q$15 = "n"), IF(E56&lt;=$D$10, 10.2, 3.58*(E56/$D$10)+6.66), IF(AND('Tank Summary'!$Q$16="y", 'Tank Summary'!$Q$15="y"),IF(E56 &lt;= (PI()/4)*$D$10^3, 10.2, 3.58*(E56/$D$12)+6.66), "Tank mixing equations do not apply"))</f>
        <v>Tank mixing equations do not apply</v>
      </c>
      <c r="L56" s="76" t="e">
        <f t="shared" si="5"/>
        <v>#VALUE!</v>
      </c>
      <c r="M56" s="11" t="str">
        <f>IF(ISERROR(H25-H24),"n/a",IF(ISBLANK(E24), H24-H23,H25-H24))</f>
        <v>n/a</v>
      </c>
      <c r="N56" s="47" t="str">
        <f>IF(ISERROR(H25-H24),"n/a",IF(ISBLANK(E24), H25-H24,H24-H23))</f>
        <v>n/a</v>
      </c>
      <c r="O56" s="94"/>
      <c r="Q56" s="481"/>
      <c r="R56" s="481"/>
      <c r="S56" s="481"/>
      <c r="T56" s="481"/>
    </row>
    <row r="57" spans="2:20" x14ac:dyDescent="0.25">
      <c r="B57" s="92">
        <f t="shared" si="3"/>
        <v>0</v>
      </c>
      <c r="C57" s="77">
        <v>5</v>
      </c>
      <c r="D57" s="74">
        <f>IF(ISBLANK(E26),E27,E26)</f>
        <v>0</v>
      </c>
      <c r="E57" s="74">
        <f>IF(ISBLANK(F26),F27,F26)</f>
        <v>0</v>
      </c>
      <c r="F57" s="32" t="str">
        <f t="shared" si="6"/>
        <v>error</v>
      </c>
      <c r="G57" s="32" t="str">
        <f t="shared" si="7"/>
        <v>error</v>
      </c>
      <c r="H57" s="49" t="str">
        <f t="shared" si="8"/>
        <v/>
      </c>
      <c r="I57" s="75" t="str">
        <f t="shared" si="9"/>
        <v>n/a</v>
      </c>
      <c r="J57" s="11" t="e">
        <f t="shared" si="4"/>
        <v>#VALUE!</v>
      </c>
      <c r="K57" s="492" t="str">
        <f>IF(AND('Tank Summary'!$Q$16="y",'Tank Summary'!$Q$15 = "n"), IF(E57&lt;=$D$10, 10.2, 3.58*(E57/$D$10)+6.66), IF(AND('Tank Summary'!$Q$16="y", 'Tank Summary'!$Q$15="y"),IF(E57 &lt;= (PI()/4)*$D$10^3, 10.2, 3.58*(E57/$D$12)+6.66), "Tank mixing equations do not apply"))</f>
        <v>Tank mixing equations do not apply</v>
      </c>
      <c r="L57" s="76" t="e">
        <f t="shared" si="5"/>
        <v>#VALUE!</v>
      </c>
      <c r="M57" s="11" t="str">
        <f>IF(ISERROR(H27-H26),"n/a",IF(ISBLANK(E26), H26-H25,H27-H26))</f>
        <v>n/a</v>
      </c>
      <c r="N57" s="47" t="str">
        <f>IF(ISERROR(H27-H26),"n/a",IF(ISBLANK(E26), H27-H26,H26-H25))</f>
        <v>n/a</v>
      </c>
      <c r="O57" s="94"/>
      <c r="Q57" s="481"/>
      <c r="R57" s="481"/>
      <c r="S57" s="481"/>
      <c r="T57" s="481"/>
    </row>
    <row r="58" spans="2:20" x14ac:dyDescent="0.25">
      <c r="B58" s="92">
        <f t="shared" si="3"/>
        <v>0</v>
      </c>
      <c r="C58" s="77">
        <v>6</v>
      </c>
      <c r="D58" s="74">
        <f>IF(ISBLANK(E28),E29,E28)</f>
        <v>0</v>
      </c>
      <c r="E58" s="74">
        <f>IF(ISBLANK(F28),F29,F28)</f>
        <v>0</v>
      </c>
      <c r="F58" s="32" t="str">
        <f t="shared" si="6"/>
        <v>error</v>
      </c>
      <c r="G58" s="32" t="str">
        <f t="shared" si="7"/>
        <v>error</v>
      </c>
      <c r="H58" s="49" t="str">
        <f t="shared" si="8"/>
        <v/>
      </c>
      <c r="I58" s="75" t="str">
        <f t="shared" si="9"/>
        <v>n/a</v>
      </c>
      <c r="J58" s="11" t="e">
        <f t="shared" si="4"/>
        <v>#VALUE!</v>
      </c>
      <c r="K58" s="492" t="str">
        <f>IF(AND('Tank Summary'!$Q$16="y",'Tank Summary'!$Q$15 = "n"), IF(E58&lt;=$D$10, 10.2, 3.58*(E58/$D$10)+6.66), IF(AND('Tank Summary'!$Q$16="y", 'Tank Summary'!$Q$15="y"),IF(E58 &lt;= (PI()/4)*$D$10^3, 10.2, 3.58*(E58/$D$12)+6.66), "Tank mixing equations do not apply"))</f>
        <v>Tank mixing equations do not apply</v>
      </c>
      <c r="L58" s="76" t="e">
        <f t="shared" si="5"/>
        <v>#VALUE!</v>
      </c>
      <c r="M58" s="11" t="str">
        <f>IF(ISERROR(H29-H28),"n/a",IF(ISBLANK(E28), H28-H27,H29-H28))</f>
        <v>n/a</v>
      </c>
      <c r="N58" s="47" t="str">
        <f>IF(ISERROR(H29-H28),"n/a",IF(ISBLANK(E28), H29-H28,H28-H27))</f>
        <v>n/a</v>
      </c>
      <c r="O58" s="94"/>
      <c r="Q58" s="481"/>
      <c r="R58" s="481"/>
      <c r="S58" s="481"/>
      <c r="T58" s="481"/>
    </row>
    <row r="59" spans="2:20" x14ac:dyDescent="0.25">
      <c r="B59" s="92">
        <f t="shared" si="3"/>
        <v>0</v>
      </c>
      <c r="C59" s="77">
        <v>7</v>
      </c>
      <c r="D59" s="74">
        <f>IF(ISBLANK(E30),E31,E30)</f>
        <v>0</v>
      </c>
      <c r="E59" s="74">
        <f>IF(ISBLANK(F30),F31,F30)</f>
        <v>0</v>
      </c>
      <c r="F59" s="32" t="str">
        <f t="shared" si="6"/>
        <v>error</v>
      </c>
      <c r="G59" s="32" t="str">
        <f t="shared" si="7"/>
        <v>error</v>
      </c>
      <c r="H59" s="49" t="str">
        <f t="shared" si="8"/>
        <v/>
      </c>
      <c r="I59" s="75" t="str">
        <f t="shared" si="9"/>
        <v>n/a</v>
      </c>
      <c r="J59" s="11" t="e">
        <f t="shared" si="4"/>
        <v>#VALUE!</v>
      </c>
      <c r="K59" s="492" t="str">
        <f>IF(AND('Tank Summary'!$Q$16="y",'Tank Summary'!$Q$15 = "n"), IF(E59&lt;=$D$10, 10.2, 3.58*(E59/$D$10)+6.66), IF(AND('Tank Summary'!$Q$16="y", 'Tank Summary'!$Q$15="y"),IF(E59 &lt;= (PI()/4)*$D$10^3, 10.2, 3.58*(E59/$D$12)+6.66), "Tank mixing equations do not apply"))</f>
        <v>Tank mixing equations do not apply</v>
      </c>
      <c r="L59" s="76" t="e">
        <f t="shared" si="5"/>
        <v>#VALUE!</v>
      </c>
      <c r="M59" s="11" t="str">
        <f>IF(ISERROR(H31-H30),"n/a",IF(ISBLANK(E30), H30-H29,H31-H30))</f>
        <v>n/a</v>
      </c>
      <c r="N59" s="47" t="str">
        <f>IF(ISERROR(H31-H30),"n/a",IF(ISBLANK(E30), H31-H30,H30-H29))</f>
        <v>n/a</v>
      </c>
      <c r="O59" s="94"/>
      <c r="Q59" s="481"/>
      <c r="R59" s="481"/>
      <c r="S59" s="481"/>
      <c r="T59" s="481"/>
    </row>
    <row r="60" spans="2:20" x14ac:dyDescent="0.25">
      <c r="B60" s="92">
        <f t="shared" si="3"/>
        <v>0</v>
      </c>
      <c r="C60" s="77">
        <v>8</v>
      </c>
      <c r="D60" s="74">
        <f>IF(ISBLANK(E32),E33,E32)</f>
        <v>0</v>
      </c>
      <c r="E60" s="74">
        <f>IF(ISBLANK(F32),F33,F32)</f>
        <v>0</v>
      </c>
      <c r="F60" s="32" t="str">
        <f t="shared" si="6"/>
        <v>error</v>
      </c>
      <c r="G60" s="32" t="str">
        <f t="shared" si="7"/>
        <v>error</v>
      </c>
      <c r="H60" s="49" t="str">
        <f t="shared" si="8"/>
        <v/>
      </c>
      <c r="I60" s="75" t="str">
        <f t="shared" si="9"/>
        <v>n/a</v>
      </c>
      <c r="J60" s="11" t="e">
        <f t="shared" si="4"/>
        <v>#VALUE!</v>
      </c>
      <c r="K60" s="492" t="str">
        <f>IF(AND('Tank Summary'!$Q$16="y",'Tank Summary'!$Q$15 = "n"), IF(E60&lt;=$D$10, 10.2, 3.58*(E60/$D$10)+6.66), IF(AND('Tank Summary'!$Q$16="y", 'Tank Summary'!$Q$15="y"),IF(E60 &lt;= (PI()/4)*$D$10^3, 10.2, 3.58*(E60/$D$12)+6.66), "Tank mixing equations do not apply"))</f>
        <v>Tank mixing equations do not apply</v>
      </c>
      <c r="L60" s="76" t="e">
        <f t="shared" si="5"/>
        <v>#VALUE!</v>
      </c>
      <c r="M60" s="11" t="str">
        <f>IF(ISERROR(H33-H32),"n/a",IF(ISBLANK(E32), H32-H31,H33-H32))</f>
        <v>n/a</v>
      </c>
      <c r="N60" s="47" t="str">
        <f>IF(ISERROR(H33-H32),"n/a",IF(ISBLANK(E32), H33-H32,H32-H31))</f>
        <v>n/a</v>
      </c>
      <c r="O60" s="94"/>
      <c r="Q60" s="481"/>
      <c r="R60" s="481"/>
      <c r="S60" s="481"/>
      <c r="T60" s="481"/>
    </row>
    <row r="61" spans="2:20" x14ac:dyDescent="0.25">
      <c r="B61" s="92">
        <f t="shared" si="3"/>
        <v>0</v>
      </c>
      <c r="C61" s="77">
        <v>9</v>
      </c>
      <c r="D61" s="74">
        <f>IF(ISBLANK(E34),E35,E34)</f>
        <v>0</v>
      </c>
      <c r="E61" s="74">
        <f>IF(ISBLANK(F34),F35,F34)</f>
        <v>0</v>
      </c>
      <c r="F61" s="32" t="str">
        <f t="shared" si="6"/>
        <v>error</v>
      </c>
      <c r="G61" s="32" t="str">
        <f t="shared" si="7"/>
        <v>error</v>
      </c>
      <c r="H61" s="49" t="str">
        <f t="shared" si="8"/>
        <v/>
      </c>
      <c r="I61" s="75" t="str">
        <f t="shared" si="9"/>
        <v>n/a</v>
      </c>
      <c r="J61" s="11" t="e">
        <f t="shared" si="4"/>
        <v>#VALUE!</v>
      </c>
      <c r="K61" s="492" t="str">
        <f>IF(AND('Tank Summary'!$Q$16="y",'Tank Summary'!$Q$15 = "n"), IF(E61&lt;=$D$10, 10.2, 3.58*(E61/$D$10)+6.66), IF(AND('Tank Summary'!$Q$16="y", 'Tank Summary'!$Q$15="y"),IF(E61 &lt;= (PI()/4)*$D$10^3, 10.2, 3.58*(E61/$D$12)+6.66), "Tank mixing equations do not apply"))</f>
        <v>Tank mixing equations do not apply</v>
      </c>
      <c r="L61" s="76" t="e">
        <f t="shared" si="5"/>
        <v>#VALUE!</v>
      </c>
      <c r="M61" s="11" t="str">
        <f>IF(ISERROR(H35-H34),"n/a",IF(ISBLANK(E34), H34-H33,H35-H34))</f>
        <v>n/a</v>
      </c>
      <c r="N61" s="47" t="str">
        <f>IF(ISERROR(H35-H34),"n/a",IF(ISBLANK(E34), H35-H34,H34-H33))</f>
        <v>n/a</v>
      </c>
      <c r="O61" s="94"/>
      <c r="Q61" s="481"/>
      <c r="R61" s="481"/>
      <c r="S61" s="481"/>
      <c r="T61" s="481"/>
    </row>
    <row r="62" spans="2:20" x14ac:dyDescent="0.25">
      <c r="B62" s="92">
        <f t="shared" si="3"/>
        <v>0</v>
      </c>
      <c r="C62" s="77">
        <v>10</v>
      </c>
      <c r="D62" s="74">
        <f>IF(ISBLANK(E36),E37,E36)</f>
        <v>0</v>
      </c>
      <c r="E62" s="74">
        <f>IF(ISBLANK(F36),F37,F36)</f>
        <v>0</v>
      </c>
      <c r="F62" s="32" t="str">
        <f t="shared" si="6"/>
        <v>error</v>
      </c>
      <c r="G62" s="32" t="str">
        <f t="shared" si="7"/>
        <v>error</v>
      </c>
      <c r="H62" s="49" t="str">
        <f t="shared" si="8"/>
        <v/>
      </c>
      <c r="I62" s="75" t="str">
        <f t="shared" si="9"/>
        <v>n/a</v>
      </c>
      <c r="J62" s="11" t="e">
        <f t="shared" si="4"/>
        <v>#VALUE!</v>
      </c>
      <c r="K62" s="492" t="str">
        <f>IF(AND('Tank Summary'!$Q$16="y",'Tank Summary'!$Q$15 = "n"), IF(E62&lt;=$D$10, 10.2, 3.58*(E62/$D$10)+6.66), IF(AND('Tank Summary'!$Q$16="y", 'Tank Summary'!$Q$15="y"),IF(E62 &lt;= (PI()/4)*$D$10^3, 10.2, 3.58*(E62/$D$12)+6.66), "Tank mixing equations do not apply"))</f>
        <v>Tank mixing equations do not apply</v>
      </c>
      <c r="L62" s="76" t="e">
        <f t="shared" si="5"/>
        <v>#VALUE!</v>
      </c>
      <c r="M62" s="11" t="str">
        <f>IF(ISERROR(H37-H36),"n/a",IF(ISBLANK(E36), H36-H35,H37-H36))</f>
        <v>n/a</v>
      </c>
      <c r="N62" s="47" t="str">
        <f>IF(ISERROR(H37-H36),"n/a",IF(ISBLANK(E36), H37-H36,H36-H35))</f>
        <v>n/a</v>
      </c>
      <c r="O62" s="94"/>
      <c r="Q62" s="481"/>
      <c r="R62" s="481"/>
      <c r="S62" s="481"/>
      <c r="T62" s="481"/>
    </row>
    <row r="63" spans="2:20" x14ac:dyDescent="0.25">
      <c r="B63" s="92">
        <f t="shared" si="3"/>
        <v>0</v>
      </c>
      <c r="C63" s="77">
        <v>11</v>
      </c>
      <c r="D63" s="74">
        <f>IF(ISBLANK(E38),E39,E38)</f>
        <v>0</v>
      </c>
      <c r="E63" s="74">
        <f>IF(ISBLANK(F38),F39,F38)</f>
        <v>0</v>
      </c>
      <c r="F63" s="32" t="str">
        <f t="shared" si="6"/>
        <v>error</v>
      </c>
      <c r="G63" s="32" t="str">
        <f t="shared" si="7"/>
        <v>error</v>
      </c>
      <c r="H63" s="49" t="str">
        <f t="shared" si="8"/>
        <v/>
      </c>
      <c r="I63" s="75" t="str">
        <f t="shared" si="9"/>
        <v>n/a</v>
      </c>
      <c r="J63" s="11" t="e">
        <f t="shared" si="4"/>
        <v>#VALUE!</v>
      </c>
      <c r="K63" s="492" t="str">
        <f>IF(AND('Tank Summary'!$Q$16="y",'Tank Summary'!$Q$15 = "n"), IF(E63&lt;=$D$10, 10.2, 3.58*(E63/$D$10)+6.66), IF(AND('Tank Summary'!$Q$16="y", 'Tank Summary'!$Q$15="y"),IF(E63 &lt;= (PI()/4)*$D$10^3, 10.2, 3.58*(E63/$D$12)+6.66), "Tank mixing equations do not apply"))</f>
        <v>Tank mixing equations do not apply</v>
      </c>
      <c r="L63" s="76" t="e">
        <f t="shared" si="5"/>
        <v>#VALUE!</v>
      </c>
      <c r="M63" s="11" t="str">
        <f>IF(ISERROR(H39-H38),"n/a",IF(ISBLANK(E38), H38-H37,H39-H38))</f>
        <v>n/a</v>
      </c>
      <c r="N63" s="47" t="str">
        <f>IF(ISERROR(H39-H38),"n/a",IF(ISBLANK(E38), H39-H38,H38-H37))</f>
        <v>n/a</v>
      </c>
      <c r="O63" s="94"/>
      <c r="Q63" s="481"/>
      <c r="R63" s="481"/>
      <c r="S63" s="481"/>
      <c r="T63" s="481"/>
    </row>
    <row r="64" spans="2:20" x14ac:dyDescent="0.25">
      <c r="B64" s="92">
        <f t="shared" si="3"/>
        <v>0</v>
      </c>
      <c r="C64" s="77">
        <v>12</v>
      </c>
      <c r="D64" s="74">
        <f>IF(ISBLANK(E40),E41,E40)</f>
        <v>0</v>
      </c>
      <c r="E64" s="74">
        <f>IF(ISBLANK(F40),F41,F40)</f>
        <v>0</v>
      </c>
      <c r="F64" s="32" t="str">
        <f t="shared" si="6"/>
        <v>error</v>
      </c>
      <c r="G64" s="32" t="str">
        <f t="shared" si="7"/>
        <v>error</v>
      </c>
      <c r="H64" s="49" t="str">
        <f t="shared" si="8"/>
        <v/>
      </c>
      <c r="I64" s="75" t="str">
        <f t="shared" si="9"/>
        <v>n/a</v>
      </c>
      <c r="J64" s="11" t="e">
        <f t="shared" si="4"/>
        <v>#VALUE!</v>
      </c>
      <c r="K64" s="492" t="str">
        <f>IF(AND('Tank Summary'!$Q$16="y",'Tank Summary'!$Q$15 = "n"), IF(E64&lt;=$D$10, 10.2, 3.58*(E64/$D$10)+6.66), IF(AND('Tank Summary'!$Q$16="y", 'Tank Summary'!$Q$15="y"),IF(E64 &lt;= (PI()/4)*$D$10^3, 10.2, 3.58*(E64/$D$12)+6.66), "Tank mixing equations do not apply"))</f>
        <v>Tank mixing equations do not apply</v>
      </c>
      <c r="L64" s="76" t="e">
        <f t="shared" si="5"/>
        <v>#VALUE!</v>
      </c>
      <c r="M64" s="11" t="str">
        <f>IF(ISERROR(H41-H40),"n/a",IF(ISBLANK(E40), H40-H39,H41-H40))</f>
        <v>n/a</v>
      </c>
      <c r="N64" s="47" t="str">
        <f>IF(ISERROR(H41-H40),"n/a",IF(ISBLANK(E40), H41-H40,H40-H39))</f>
        <v>n/a</v>
      </c>
      <c r="O64" s="94"/>
      <c r="Q64" s="481"/>
      <c r="R64" s="481"/>
      <c r="S64" s="481"/>
      <c r="T64" s="481"/>
    </row>
    <row r="65" spans="1:20" x14ac:dyDescent="0.25">
      <c r="B65" s="92">
        <f t="shared" si="3"/>
        <v>0</v>
      </c>
      <c r="C65" s="77">
        <v>13</v>
      </c>
      <c r="D65" s="74">
        <f>IF(ISBLANK(E42),E43,E42)</f>
        <v>0</v>
      </c>
      <c r="E65" s="74">
        <f>IF(ISBLANK(F42),F43,F42)</f>
        <v>0</v>
      </c>
      <c r="F65" s="32" t="str">
        <f t="shared" si="6"/>
        <v>error</v>
      </c>
      <c r="G65" s="32" t="str">
        <f t="shared" si="7"/>
        <v>error</v>
      </c>
      <c r="H65" s="49" t="str">
        <f t="shared" si="8"/>
        <v/>
      </c>
      <c r="I65" s="75" t="str">
        <f t="shared" si="9"/>
        <v>n/a</v>
      </c>
      <c r="J65" s="11" t="e">
        <f t="shared" si="4"/>
        <v>#VALUE!</v>
      </c>
      <c r="K65" s="492" t="str">
        <f>IF(AND('Tank Summary'!$Q$16="y",'Tank Summary'!$Q$15 = "n"), IF(E65&lt;=$D$10, 10.2, 3.58*(E65/$D$10)+6.66), IF(AND('Tank Summary'!$Q$16="y", 'Tank Summary'!$Q$15="y"),IF(E65 &lt;= (PI()/4)*$D$10^3, 10.2, 3.58*(E65/$D$12)+6.66), "Tank mixing equations do not apply"))</f>
        <v>Tank mixing equations do not apply</v>
      </c>
      <c r="L65" s="76" t="e">
        <f t="shared" si="5"/>
        <v>#VALUE!</v>
      </c>
      <c r="M65" s="11" t="str">
        <f>IF(ISERROR(H43-H42),"n/a",IF(ISBLANK(E42), H42-H41,H43-H42))</f>
        <v>n/a</v>
      </c>
      <c r="N65" s="47" t="str">
        <f>IF(ISERROR(H43-H42),"n/a",IF(ISBLANK(E42), H43-H42,H42-H41))</f>
        <v>n/a</v>
      </c>
      <c r="O65" s="94"/>
      <c r="Q65" s="481"/>
      <c r="R65" s="481"/>
      <c r="S65" s="481"/>
      <c r="T65" s="481"/>
    </row>
    <row r="66" spans="1:20" x14ac:dyDescent="0.25">
      <c r="B66" s="92">
        <f t="shared" si="3"/>
        <v>0</v>
      </c>
      <c r="C66" s="77">
        <v>14</v>
      </c>
      <c r="D66" s="74">
        <f>IF(ISBLANK(E44),E45,E44)</f>
        <v>0</v>
      </c>
      <c r="E66" s="74">
        <f>IF(ISBLANK(F44),F45,F44)</f>
        <v>0</v>
      </c>
      <c r="F66" s="32" t="str">
        <f t="shared" si="6"/>
        <v>error</v>
      </c>
      <c r="G66" s="32" t="str">
        <f t="shared" si="7"/>
        <v>error</v>
      </c>
      <c r="H66" s="49" t="str">
        <f t="shared" si="8"/>
        <v/>
      </c>
      <c r="I66" s="75" t="str">
        <f t="shared" si="9"/>
        <v>n/a</v>
      </c>
      <c r="J66" s="11" t="e">
        <f t="shared" si="4"/>
        <v>#VALUE!</v>
      </c>
      <c r="K66" s="492" t="str">
        <f>IF(AND('Tank Summary'!$Q$16="y",'Tank Summary'!$Q$15 = "n"), IF(E66&lt;=$D$10, 10.2, 3.58*(E66/$D$10)+6.66), IF(AND('Tank Summary'!$Q$16="y", 'Tank Summary'!$Q$15="y"),IF(E66 &lt;= (PI()/4)*$D$10^3, 10.2, 3.58*(E66/$D$12)+6.66), "Tank mixing equations do not apply"))</f>
        <v>Tank mixing equations do not apply</v>
      </c>
      <c r="L66" s="76" t="e">
        <f t="shared" si="5"/>
        <v>#VALUE!</v>
      </c>
      <c r="M66" s="11" t="str">
        <f>IF(ISERROR(H45-H44),"n/a",IF(ISBLANK(E44), H44-H43,H45-H44))</f>
        <v>n/a</v>
      </c>
      <c r="N66" s="47" t="str">
        <f>IF(ISERROR(H45-H44),"n/a",IF(ISBLANK(E44), H45-H44,H44-H43))</f>
        <v>n/a</v>
      </c>
      <c r="O66" s="94"/>
      <c r="Q66" s="481"/>
      <c r="R66" s="481"/>
      <c r="S66" s="481"/>
      <c r="T66" s="481"/>
    </row>
    <row r="67" spans="1:20" ht="13" thickBot="1" x14ac:dyDescent="0.3">
      <c r="B67" s="92">
        <f t="shared" si="3"/>
        <v>0</v>
      </c>
      <c r="C67" s="78">
        <v>15</v>
      </c>
      <c r="D67" s="79">
        <f>IF(ISBLANK(E46),E47,E46)</f>
        <v>0</v>
      </c>
      <c r="E67" s="79">
        <f>IF(ISBLANK(F46),F47,F46)</f>
        <v>0</v>
      </c>
      <c r="F67" s="127" t="str">
        <f t="shared" si="6"/>
        <v>error</v>
      </c>
      <c r="G67" s="127" t="str">
        <f t="shared" si="7"/>
        <v>error</v>
      </c>
      <c r="H67" s="128" t="str">
        <f t="shared" si="8"/>
        <v/>
      </c>
      <c r="I67" s="129" t="str">
        <f t="shared" si="9"/>
        <v>n/a</v>
      </c>
      <c r="J67" s="48" t="e">
        <f t="shared" si="4"/>
        <v>#VALUE!</v>
      </c>
      <c r="K67" s="492" t="str">
        <f>IF(AND('Tank Summary'!$Q$16="y",'Tank Summary'!$Q$15 = "n"), IF(E67&lt;=$D$10, 10.2, 3.58*(E67/$D$10)+6.66), IF(AND('Tank Summary'!$Q$16="y", 'Tank Summary'!$Q$15="y"),IF(E67 &lt;= (PI()/4)*$D$10^3, 10.2, 3.58*(E67/$D$12)+6.66), "Tank mixing equations do not apply"))</f>
        <v>Tank mixing equations do not apply</v>
      </c>
      <c r="L67" s="48" t="e">
        <f t="shared" si="5"/>
        <v>#VALUE!</v>
      </c>
      <c r="M67" s="48" t="str">
        <f>IF(ISERROR(H47-H46),"n/a",IF(ISBLANK(E46), H46-H45,H47-H46))</f>
        <v>n/a</v>
      </c>
      <c r="N67" s="65" t="str">
        <f>IF(ISERROR(H47-H46),"n/a",IF(ISBLANK(E46), H47-H46,H46-H45))</f>
        <v>n/a</v>
      </c>
      <c r="O67" s="94"/>
      <c r="Q67" s="481"/>
      <c r="R67" s="481"/>
      <c r="S67" s="481"/>
      <c r="T67" s="481"/>
    </row>
    <row r="68" spans="1:20" ht="13" x14ac:dyDescent="0.3">
      <c r="B68" s="92"/>
      <c r="C68" s="8"/>
      <c r="D68" s="25"/>
      <c r="E68" s="26"/>
      <c r="F68" s="26"/>
      <c r="G68" s="26"/>
      <c r="H68" s="26"/>
      <c r="I68" s="27"/>
      <c r="J68" s="27"/>
      <c r="K68" s="27"/>
      <c r="L68" s="8"/>
      <c r="M68" s="98"/>
      <c r="N68" s="8"/>
      <c r="O68" s="94"/>
      <c r="Q68" s="481"/>
      <c r="R68" s="481"/>
      <c r="S68" s="481"/>
      <c r="T68" s="481"/>
    </row>
    <row r="69" spans="1:20" ht="13.5" thickBot="1" x14ac:dyDescent="0.35">
      <c r="A69" s="94"/>
      <c r="B69" s="92"/>
      <c r="C69" s="99" t="s">
        <v>40</v>
      </c>
      <c r="D69" s="8"/>
      <c r="E69" s="8"/>
      <c r="F69" s="8"/>
      <c r="G69" s="27"/>
      <c r="H69" s="366"/>
      <c r="I69" s="366" t="s">
        <v>18</v>
      </c>
      <c r="J69" s="366"/>
      <c r="K69" s="366"/>
      <c r="L69" s="100"/>
      <c r="M69" s="98"/>
      <c r="N69" s="27"/>
      <c r="O69" s="94"/>
      <c r="Q69" s="481"/>
      <c r="R69" s="481"/>
      <c r="S69" s="481"/>
      <c r="T69" s="481"/>
    </row>
    <row r="70" spans="1:20" ht="13" x14ac:dyDescent="0.3">
      <c r="B70" s="92"/>
      <c r="C70" s="57" t="s">
        <v>39</v>
      </c>
      <c r="D70" s="58"/>
      <c r="E70" s="61" t="e">
        <f>SUM(G53:G67)/COUNTIF(G53:G67,"&gt;0")</f>
        <v>#DIV/0!</v>
      </c>
      <c r="F70" s="52" t="s">
        <v>4</v>
      </c>
      <c r="G70" s="27"/>
      <c r="H70" s="7" t="str">
        <f>IF(D8="y","Avg Vol at Start of Fill","Avg Min Water Level")</f>
        <v>Avg Min Water Level</v>
      </c>
      <c r="I70" s="38"/>
      <c r="J70" s="35" t="e">
        <f>IF('Tank Summary'!K16="n","",SUM(D53:D67)/SUM(B53:B67))</f>
        <v>#DIV/0!</v>
      </c>
      <c r="K70" s="15" t="str">
        <f>IF(D8="y","gal","ft")</f>
        <v>ft</v>
      </c>
      <c r="L70" s="8"/>
      <c r="M70" s="8"/>
      <c r="N70" s="98"/>
      <c r="O70" s="94"/>
      <c r="Q70" s="481"/>
      <c r="R70" s="481"/>
      <c r="S70" s="481"/>
      <c r="T70" s="481"/>
    </row>
    <row r="71" spans="1:20" ht="13" x14ac:dyDescent="0.3">
      <c r="B71" s="92"/>
      <c r="C71" s="4" t="s">
        <v>43</v>
      </c>
      <c r="D71" s="55"/>
      <c r="E71" s="2" t="e">
        <f>SUM(H53:H67)/COUNTIF(H53:H67,"&gt;0")</f>
        <v>#DIV/0!</v>
      </c>
      <c r="F71" s="5" t="s">
        <v>5</v>
      </c>
      <c r="G71" s="8"/>
      <c r="H71" s="39" t="s">
        <v>55</v>
      </c>
      <c r="I71" s="37"/>
      <c r="J71" s="36" t="e">
        <f>IF('Tank Summary'!K16="n","",AVERAGE(J53:J67))</f>
        <v>#VALUE!</v>
      </c>
      <c r="K71" s="16"/>
      <c r="L71" s="8"/>
      <c r="M71" s="8"/>
      <c r="N71" s="8"/>
      <c r="O71" s="94"/>
    </row>
    <row r="72" spans="1:20" ht="13" x14ac:dyDescent="0.3">
      <c r="B72" s="92"/>
      <c r="C72" s="39" t="s">
        <v>36</v>
      </c>
      <c r="D72" s="63"/>
      <c r="E72" s="130" t="e">
        <f>AVERAGE(M53:M67)</f>
        <v>#DIV/0!</v>
      </c>
      <c r="F72" s="16" t="s">
        <v>2</v>
      </c>
      <c r="G72" s="8"/>
      <c r="H72" s="39" t="s">
        <v>56</v>
      </c>
      <c r="I72" s="37"/>
      <c r="J72" s="36" t="e">
        <f>IF('Tank Summary'!K16="n","",AVERAGE(L53:L67))</f>
        <v>#VALUE!</v>
      </c>
      <c r="K72" s="16"/>
      <c r="L72" s="8"/>
      <c r="M72" s="8"/>
      <c r="N72" s="8"/>
      <c r="O72" s="94"/>
    </row>
    <row r="73" spans="1:20" ht="13" x14ac:dyDescent="0.3">
      <c r="B73" s="92"/>
      <c r="C73" s="39" t="s">
        <v>37</v>
      </c>
      <c r="D73" s="63"/>
      <c r="E73" s="131" t="e">
        <f>AVERAGE(N53:N67)</f>
        <v>#DIV/0!</v>
      </c>
      <c r="F73" s="62" t="s">
        <v>2</v>
      </c>
      <c r="G73" s="8"/>
      <c r="H73" s="39" t="str">
        <f>IF(D8="y","Avg Measured Vol Change","Avg Measured Water Level Change")</f>
        <v>Avg Measured Water Level Change</v>
      </c>
      <c r="I73" s="37"/>
      <c r="J73" s="83" t="e">
        <f>IF('Tank Summary'!K16="n","",(SUM(E53:E67)/SUM(B53:B67))-J70)</f>
        <v>#DIV/0!</v>
      </c>
      <c r="K73" s="16" t="str">
        <f>IF(D8="y","gal","ft")</f>
        <v>ft</v>
      </c>
      <c r="L73" s="8"/>
      <c r="M73" s="8"/>
      <c r="N73" s="8"/>
      <c r="O73" s="94"/>
    </row>
    <row r="74" spans="1:20" ht="24.75" customHeight="1" x14ac:dyDescent="0.3">
      <c r="B74" s="92"/>
      <c r="C74" s="39" t="s">
        <v>28</v>
      </c>
      <c r="D74" s="63"/>
      <c r="E74" s="34" t="e">
        <f>E70*10^6/(E72*24*60)</f>
        <v>#DIV/0!</v>
      </c>
      <c r="F74" s="41" t="s">
        <v>26</v>
      </c>
      <c r="G74" s="8"/>
      <c r="H74" s="505" t="str">
        <f>IF(D8="y","Desired Vol Change Needed for Good Mixing","Desired Water Level Change Needed for Good Mixing")</f>
        <v>Desired Water Level Change Needed for Good Mixing</v>
      </c>
      <c r="I74" s="506"/>
      <c r="J74" s="45" t="e">
        <f>IF('Tank Summary'!K16="n","",$J$70*J72)</f>
        <v>#DIV/0!</v>
      </c>
      <c r="K74" s="43" t="str">
        <f>IF(D8="y","gal","ft")</f>
        <v>ft</v>
      </c>
      <c r="L74" s="8"/>
      <c r="M74" s="8"/>
      <c r="N74" s="8"/>
      <c r="O74" s="94"/>
    </row>
    <row r="75" spans="1:20" ht="24.75" customHeight="1" x14ac:dyDescent="0.3">
      <c r="B75" s="92"/>
      <c r="C75" s="39" t="s">
        <v>29</v>
      </c>
      <c r="D75" s="63"/>
      <c r="E75" s="34" t="e">
        <f>E71*10^6/(E73*24*60)</f>
        <v>#DIV/0!</v>
      </c>
      <c r="F75" s="41" t="s">
        <v>26</v>
      </c>
      <c r="G75" s="8"/>
      <c r="H75" s="39" t="s">
        <v>57</v>
      </c>
      <c r="I75" s="432"/>
      <c r="J75" s="160" t="e">
        <f>IF('Tank Summary'!K16="n","",J73/J74)</f>
        <v>#DIV/0!</v>
      </c>
      <c r="K75" s="5"/>
      <c r="L75" s="8"/>
      <c r="M75" s="8"/>
      <c r="N75" s="8"/>
      <c r="O75" s="94"/>
    </row>
    <row r="76" spans="1:20" ht="27" customHeight="1" thickBot="1" x14ac:dyDescent="0.35">
      <c r="B76" s="92"/>
      <c r="C76" s="59" t="s">
        <v>38</v>
      </c>
      <c r="D76" s="60"/>
      <c r="E76" s="64" t="e">
        <f>E72+E73</f>
        <v>#DIV/0!</v>
      </c>
      <c r="F76" s="24" t="s">
        <v>2</v>
      </c>
      <c r="G76" s="8"/>
      <c r="H76" s="42" t="s">
        <v>54</v>
      </c>
      <c r="I76" s="431"/>
      <c r="J76" s="44" t="e">
        <f>IF('Tank Summary'!K16="n","",(((((SUM(F53:F67)/SUM(B53:B67))*10^6/7.48)^(1/3))*$J$71)/9)*12)</f>
        <v>#DIV/0!</v>
      </c>
      <c r="K76" s="3" t="s">
        <v>31</v>
      </c>
      <c r="L76" s="8"/>
      <c r="M76" s="8"/>
      <c r="N76" s="8"/>
      <c r="O76" s="94"/>
    </row>
    <row r="77" spans="1:20" ht="14.25" customHeight="1" x14ac:dyDescent="0.3">
      <c r="B77" s="92"/>
      <c r="C77" s="39" t="s">
        <v>53</v>
      </c>
      <c r="D77" s="56"/>
      <c r="E77" s="36" t="e">
        <f>E70/E76</f>
        <v>#DIV/0!</v>
      </c>
      <c r="F77" s="5" t="s">
        <v>3</v>
      </c>
      <c r="G77" s="8"/>
      <c r="H77" s="8"/>
      <c r="I77" s="507" t="str">
        <f>IF('Tank Summary'!Q26="no","The tank mixing equations are not applicable.",IF(J73&lt;J74,"Mixing is at an undesirable level, use Mixing Analysis (Section II) to determine strategies that will increase mixing.","Mixing is at a desired level."))</f>
        <v>The tank mixing equations are not applicable.</v>
      </c>
      <c r="J77" s="507"/>
      <c r="K77" s="507"/>
      <c r="L77" s="508"/>
      <c r="M77" s="8"/>
      <c r="N77" s="8"/>
      <c r="O77" s="94"/>
    </row>
    <row r="78" spans="1:20" ht="13" x14ac:dyDescent="0.3">
      <c r="B78" s="92"/>
      <c r="C78" s="39" t="s">
        <v>44</v>
      </c>
      <c r="D78" s="56"/>
      <c r="E78" s="36" t="e">
        <f>AVERAGE(I53:I67)</f>
        <v>#DIV/0!</v>
      </c>
      <c r="F78" s="5" t="s">
        <v>5</v>
      </c>
      <c r="G78" s="8"/>
      <c r="H78" s="8"/>
      <c r="I78" s="508"/>
      <c r="J78" s="508"/>
      <c r="K78" s="508"/>
      <c r="L78" s="508"/>
      <c r="M78" s="8"/>
      <c r="N78" s="8"/>
      <c r="O78" s="94"/>
    </row>
    <row r="79" spans="1:20" ht="13.5" thickBot="1" x14ac:dyDescent="0.35">
      <c r="B79" s="92"/>
      <c r="C79" s="42" t="s">
        <v>8</v>
      </c>
      <c r="D79" s="40"/>
      <c r="E79" s="54" t="e">
        <f>E78/E77</f>
        <v>#DIV/0!</v>
      </c>
      <c r="F79" s="6" t="s">
        <v>2</v>
      </c>
      <c r="G79" s="8"/>
      <c r="H79" s="8"/>
      <c r="I79" s="508"/>
      <c r="J79" s="508"/>
      <c r="K79" s="508"/>
      <c r="L79" s="508"/>
      <c r="M79" s="8"/>
      <c r="N79" s="8"/>
      <c r="O79" s="94"/>
    </row>
    <row r="80" spans="1:20" ht="12.75" customHeight="1" x14ac:dyDescent="0.3">
      <c r="B80" s="92"/>
      <c r="C80" s="93"/>
      <c r="D80" s="503" t="e">
        <f>IF(E79&gt;5, "Turnover time is at an undesirable level, use Turnover Time Analysis (Step 2) to determine operational strategies that will reduce turnover time.","Turnover Time is at a desired level.")</f>
        <v>#DIV/0!</v>
      </c>
      <c r="E80" s="503"/>
      <c r="F80" s="503"/>
      <c r="G80" s="8"/>
      <c r="H80" s="126"/>
      <c r="I80" s="508"/>
      <c r="J80" s="508"/>
      <c r="K80" s="508"/>
      <c r="L80" s="508"/>
      <c r="M80" s="8"/>
      <c r="N80" s="8"/>
      <c r="O80" s="94"/>
    </row>
    <row r="81" spans="2:15" ht="11.25" customHeight="1" x14ac:dyDescent="0.3">
      <c r="B81" s="92"/>
      <c r="C81" s="8"/>
      <c r="D81" s="504"/>
      <c r="E81" s="504"/>
      <c r="F81" s="504"/>
      <c r="G81" s="8"/>
      <c r="H81" s="126"/>
      <c r="I81" s="82"/>
      <c r="J81" s="82"/>
      <c r="K81" s="82"/>
      <c r="L81" s="82"/>
      <c r="M81" s="8"/>
      <c r="N81" s="8"/>
      <c r="O81" s="94"/>
    </row>
    <row r="82" spans="2:15" ht="12.75" customHeight="1" x14ac:dyDescent="0.25">
      <c r="B82" s="92"/>
      <c r="C82" s="8"/>
      <c r="D82" s="504"/>
      <c r="E82" s="504"/>
      <c r="F82" s="504"/>
      <c r="G82" s="8"/>
      <c r="H82" s="8"/>
      <c r="I82" s="8"/>
      <c r="J82" s="29"/>
      <c r="K82" s="29"/>
      <c r="L82" s="8"/>
      <c r="M82" s="8"/>
      <c r="N82" s="8"/>
      <c r="O82" s="94"/>
    </row>
    <row r="83" spans="2:15" ht="16.5" customHeight="1" x14ac:dyDescent="0.25">
      <c r="B83" s="92"/>
      <c r="C83" s="8"/>
      <c r="D83" s="504"/>
      <c r="E83" s="504"/>
      <c r="F83" s="504"/>
      <c r="G83" s="8"/>
      <c r="H83" s="8"/>
      <c r="I83" s="8"/>
      <c r="J83" s="29"/>
      <c r="K83" s="29"/>
      <c r="L83" s="8"/>
      <c r="M83" s="8"/>
      <c r="N83" s="8"/>
      <c r="O83" s="94"/>
    </row>
    <row r="84" spans="2:15" ht="13" thickBot="1" x14ac:dyDescent="0.3">
      <c r="B84" s="101"/>
      <c r="C84" s="102"/>
      <c r="D84" s="102"/>
      <c r="E84" s="102"/>
      <c r="F84" s="102"/>
      <c r="G84" s="102"/>
      <c r="H84" s="102"/>
      <c r="I84" s="102"/>
      <c r="J84" s="102"/>
      <c r="K84" s="102"/>
      <c r="L84" s="102"/>
      <c r="M84" s="102"/>
      <c r="N84" s="102"/>
      <c r="O84" s="103"/>
    </row>
    <row r="85" spans="2:15" ht="18.5" thickBot="1" x14ac:dyDescent="0.45">
      <c r="B85" s="116" t="s">
        <v>188</v>
      </c>
      <c r="C85" s="111"/>
      <c r="D85" s="111"/>
      <c r="E85" s="120"/>
      <c r="F85" s="121"/>
      <c r="G85" s="111"/>
      <c r="H85" s="111"/>
      <c r="I85" s="111"/>
      <c r="J85" s="111"/>
      <c r="K85" s="111"/>
      <c r="L85" s="118"/>
      <c r="M85" s="118"/>
      <c r="N85" s="118"/>
      <c r="O85" s="119"/>
    </row>
    <row r="86" spans="2:15" x14ac:dyDescent="0.25">
      <c r="B86" s="92"/>
      <c r="C86" s="29"/>
      <c r="D86" s="29"/>
      <c r="E86" s="29"/>
      <c r="F86" s="29"/>
      <c r="G86" s="29"/>
      <c r="H86" s="29"/>
      <c r="I86" s="29"/>
      <c r="J86" s="29"/>
      <c r="K86" s="29"/>
      <c r="L86" s="8"/>
      <c r="M86" s="8"/>
      <c r="N86" s="8"/>
      <c r="O86" s="94"/>
    </row>
    <row r="87" spans="2:15" ht="13" x14ac:dyDescent="0.3">
      <c r="B87" s="92"/>
      <c r="C87" s="95" t="s">
        <v>65</v>
      </c>
      <c r="D87" s="29"/>
      <c r="E87" s="29"/>
      <c r="F87" s="29"/>
      <c r="G87" s="29"/>
      <c r="H87" s="29"/>
      <c r="I87" s="29"/>
      <c r="J87" s="29"/>
      <c r="K87" s="29"/>
      <c r="L87" s="8"/>
      <c r="M87" s="8"/>
      <c r="N87" s="8"/>
      <c r="O87" s="94"/>
    </row>
    <row r="88" spans="2:15" ht="13" x14ac:dyDescent="0.3">
      <c r="B88" s="92"/>
      <c r="C88" s="95" t="s">
        <v>207</v>
      </c>
      <c r="D88" s="29"/>
      <c r="E88" s="29"/>
      <c r="F88" s="29"/>
      <c r="G88" s="29"/>
      <c r="H88" s="29"/>
      <c r="I88" s="29"/>
      <c r="J88" s="29"/>
      <c r="K88" s="29"/>
      <c r="L88" s="8"/>
      <c r="M88" s="8"/>
      <c r="N88" s="8"/>
      <c r="O88" s="94"/>
    </row>
    <row r="89" spans="2:15" ht="13" x14ac:dyDescent="0.3">
      <c r="B89" s="92"/>
      <c r="C89" s="95"/>
      <c r="D89" s="29"/>
      <c r="E89" s="29"/>
      <c r="F89" s="29"/>
      <c r="G89" s="29"/>
      <c r="H89" s="29"/>
      <c r="I89" s="29"/>
      <c r="J89" s="29"/>
      <c r="K89" s="29"/>
      <c r="L89" s="8"/>
      <c r="M89" s="8"/>
      <c r="N89" s="8"/>
      <c r="O89" s="94"/>
    </row>
    <row r="90" spans="2:15" ht="13" x14ac:dyDescent="0.3">
      <c r="B90" s="92"/>
      <c r="C90" s="95" t="s">
        <v>77</v>
      </c>
      <c r="D90" s="29"/>
      <c r="E90" s="29"/>
      <c r="F90" s="29"/>
      <c r="G90" s="29"/>
      <c r="H90" s="29"/>
      <c r="I90" s="29"/>
      <c r="J90" s="29"/>
      <c r="K90" s="29"/>
      <c r="L90" s="8"/>
      <c r="M90" s="8"/>
      <c r="N90" s="8"/>
      <c r="O90" s="94"/>
    </row>
    <row r="91" spans="2:15" ht="13" x14ac:dyDescent="0.3">
      <c r="B91" s="92"/>
      <c r="C91" s="344" t="s">
        <v>294</v>
      </c>
      <c r="D91" s="488"/>
      <c r="E91" s="488"/>
      <c r="F91" s="488"/>
      <c r="G91" s="488"/>
      <c r="H91" s="29"/>
      <c r="I91" s="29"/>
      <c r="J91" s="29"/>
      <c r="K91" s="29"/>
      <c r="L91" s="8"/>
      <c r="M91" s="8"/>
      <c r="N91" s="8"/>
      <c r="O91" s="94"/>
    </row>
    <row r="92" spans="2:15" ht="13" x14ac:dyDescent="0.3">
      <c r="B92" s="92"/>
      <c r="C92" s="95"/>
      <c r="D92" s="29"/>
      <c r="E92" s="29"/>
      <c r="F92" s="29"/>
      <c r="G92" s="29"/>
      <c r="H92" s="29"/>
      <c r="I92" s="29"/>
      <c r="J92" s="29"/>
      <c r="K92" s="29"/>
      <c r="L92" s="8"/>
      <c r="M92" s="8"/>
      <c r="N92" s="8"/>
      <c r="O92" s="94"/>
    </row>
    <row r="93" spans="2:15" ht="13" x14ac:dyDescent="0.3">
      <c r="B93" s="92"/>
      <c r="C93" s="95" t="s">
        <v>280</v>
      </c>
      <c r="D93" s="29"/>
      <c r="E93" s="29"/>
      <c r="F93" s="29"/>
      <c r="G93" s="29"/>
      <c r="H93" s="29"/>
      <c r="I93" s="29"/>
      <c r="J93" s="29"/>
      <c r="K93" s="29"/>
      <c r="L93" s="8"/>
      <c r="M93" s="8"/>
      <c r="N93" s="8"/>
      <c r="O93" s="94"/>
    </row>
    <row r="94" spans="2:15" ht="13" x14ac:dyDescent="0.3">
      <c r="B94" s="92"/>
      <c r="C94" s="95"/>
      <c r="D94" s="29"/>
      <c r="E94" s="29"/>
      <c r="F94" s="29"/>
      <c r="G94" s="29"/>
      <c r="H94" s="29"/>
      <c r="I94" s="29"/>
      <c r="J94" s="29"/>
      <c r="K94" s="29"/>
      <c r="L94" s="8"/>
      <c r="M94" s="8"/>
      <c r="N94" s="8"/>
      <c r="O94" s="94"/>
    </row>
    <row r="95" spans="2:15" ht="13" x14ac:dyDescent="0.3">
      <c r="B95" s="92"/>
      <c r="C95" s="29"/>
      <c r="D95" s="133" t="s">
        <v>27</v>
      </c>
      <c r="E95" s="81" t="s">
        <v>45</v>
      </c>
      <c r="F95" s="81" t="s">
        <v>46</v>
      </c>
      <c r="G95" s="81" t="s">
        <v>47</v>
      </c>
      <c r="H95" s="81" t="s">
        <v>48</v>
      </c>
      <c r="I95" s="81" t="s">
        <v>49</v>
      </c>
      <c r="J95" s="29"/>
      <c r="K95" s="29"/>
      <c r="L95" s="8"/>
      <c r="M95" s="8"/>
      <c r="N95" s="8"/>
      <c r="O95" s="94"/>
    </row>
    <row r="96" spans="2:15" ht="13" x14ac:dyDescent="0.3">
      <c r="B96" s="92"/>
      <c r="C96" s="122" t="str">
        <f>IF(OR($D$7="c",D7="h"), "Tank diameter", IF($D$7="r","Longest Sidewall Length",""))</f>
        <v/>
      </c>
      <c r="D96" s="31">
        <f>'Tank#6'!D10</f>
        <v>0</v>
      </c>
      <c r="E96" s="66">
        <f>$D$96</f>
        <v>0</v>
      </c>
      <c r="F96" s="66">
        <f>$D$96</f>
        <v>0</v>
      </c>
      <c r="G96" s="66">
        <f>$D$96</f>
        <v>0</v>
      </c>
      <c r="H96" s="66">
        <f>$D$96</f>
        <v>0</v>
      </c>
      <c r="I96" s="66">
        <f>$D$96</f>
        <v>0</v>
      </c>
      <c r="J96" s="95" t="str">
        <f>IF(D8="y","","ft")</f>
        <v>ft</v>
      </c>
      <c r="K96" s="95"/>
      <c r="L96" s="8"/>
      <c r="M96" s="8"/>
      <c r="N96" s="8"/>
      <c r="O96" s="94"/>
    </row>
    <row r="97" spans="2:15" ht="13" x14ac:dyDescent="0.3">
      <c r="B97" s="92"/>
      <c r="C97" s="95" t="str">
        <f>IF(OR($D$7="c",D7="h"),"",IF($D$7="r","Shortest Sidewall Length",""))</f>
        <v/>
      </c>
      <c r="D97" s="33">
        <f>'Tank#6'!D11</f>
        <v>0</v>
      </c>
      <c r="E97" s="66">
        <f>$D$97</f>
        <v>0</v>
      </c>
      <c r="F97" s="66">
        <f>$D$97</f>
        <v>0</v>
      </c>
      <c r="G97" s="66">
        <f>$D$97</f>
        <v>0</v>
      </c>
      <c r="H97" s="66">
        <f>$D$97</f>
        <v>0</v>
      </c>
      <c r="I97" s="66">
        <f>$D$97</f>
        <v>0</v>
      </c>
      <c r="J97" s="95" t="str">
        <f>IF(D8="y","","ft")</f>
        <v>ft</v>
      </c>
      <c r="K97" s="95"/>
      <c r="L97" s="8"/>
      <c r="M97" s="8"/>
      <c r="N97" s="8"/>
      <c r="O97" s="94"/>
    </row>
    <row r="98" spans="2:15" ht="13" x14ac:dyDescent="0.3">
      <c r="B98" s="92"/>
      <c r="C98" s="346" t="s">
        <v>30</v>
      </c>
      <c r="D98" s="124">
        <f>'Tank#6'!D13</f>
        <v>0</v>
      </c>
      <c r="E98" s="345"/>
      <c r="F98" s="345"/>
      <c r="G98" s="345"/>
      <c r="H98" s="345"/>
      <c r="I98" s="345"/>
      <c r="J98" s="95" t="s">
        <v>1</v>
      </c>
      <c r="K98" s="95"/>
      <c r="L98" s="8"/>
      <c r="M98" s="8"/>
      <c r="N98" s="8"/>
      <c r="O98" s="94"/>
    </row>
    <row r="99" spans="2:15" ht="13" x14ac:dyDescent="0.3">
      <c r="B99" s="92"/>
      <c r="C99" s="346" t="str">
        <f>IF(D8="y","Fraction Full (Max Level)","High/Max Level")</f>
        <v>High/Max Level</v>
      </c>
      <c r="D99" s="80" t="b">
        <f>IF(OR($D$7="c",$D$7="r",$D$7="h"),(SUM(E53:E67)/COUNTIF(E53:E67,"&gt;0")),IF($D$8="y",(SUM(E53:E67)/COUNTIF(E53:E67,"&gt;0"))/($D$6*10^6)))</f>
        <v>0</v>
      </c>
      <c r="E99" s="345"/>
      <c r="F99" s="345"/>
      <c r="G99" s="345"/>
      <c r="H99" s="345"/>
      <c r="I99" s="345"/>
      <c r="J99" s="95" t="str">
        <f>IF(D8="y","","ft")</f>
        <v>ft</v>
      </c>
      <c r="K99" s="95"/>
      <c r="L99" s="8"/>
      <c r="M99" s="8"/>
      <c r="N99" s="8"/>
      <c r="O99" s="94"/>
    </row>
    <row r="100" spans="2:15" ht="13" x14ac:dyDescent="0.3">
      <c r="B100" s="92"/>
      <c r="C100" s="346" t="str">
        <f>IF(D8="y","Fraction Full (Min Level)","Low/Min Level")</f>
        <v>Low/Min Level</v>
      </c>
      <c r="D100" s="80" t="b">
        <f>IF(OR($D$7="c",$D$7="r",$D$7="s",$D$7="h"),(SUM(D53:D67)/COUNTIF(D53:D67,"&gt;0")),IF($D$8="y",(SUM(D53:D67)/COUNTIF(D53:D67,"&gt;0"))/($D$6*10^6)))</f>
        <v>0</v>
      </c>
      <c r="E100" s="345"/>
      <c r="F100" s="345"/>
      <c r="G100" s="345"/>
      <c r="H100" s="345"/>
      <c r="I100" s="345"/>
      <c r="J100" s="95" t="str">
        <f>IF(D8="y","","ft")</f>
        <v>ft</v>
      </c>
      <c r="K100" s="95"/>
      <c r="L100" s="8"/>
      <c r="M100" s="8"/>
      <c r="N100" s="8"/>
      <c r="O100" s="94"/>
    </row>
    <row r="101" spans="2:15" ht="15.5" x14ac:dyDescent="0.35">
      <c r="B101" s="92"/>
      <c r="C101" s="125" t="str">
        <f>IF(OR(D7="c", D7="r",D7="h"),"H/D ratio","")</f>
        <v/>
      </c>
      <c r="D101" s="490" t="str">
        <f t="shared" ref="D101:I101" si="10">IF(OR($D$7="c", $D$7="r",$D$7="h"),D99/D96,"")</f>
        <v/>
      </c>
      <c r="E101" s="124" t="str">
        <f t="shared" si="10"/>
        <v/>
      </c>
      <c r="F101" s="124" t="str">
        <f t="shared" si="10"/>
        <v/>
      </c>
      <c r="G101" s="124" t="str">
        <f t="shared" si="10"/>
        <v/>
      </c>
      <c r="H101" s="124" t="str">
        <f t="shared" si="10"/>
        <v/>
      </c>
      <c r="I101" s="124" t="str">
        <f t="shared" si="10"/>
        <v/>
      </c>
      <c r="J101" s="134"/>
      <c r="K101" s="148"/>
      <c r="L101" s="8"/>
      <c r="M101" s="8"/>
      <c r="N101" s="8"/>
      <c r="O101" s="94"/>
    </row>
    <row r="102" spans="2:15" ht="13" x14ac:dyDescent="0.3">
      <c r="B102" s="92"/>
      <c r="C102" s="123" t="str">
        <f>IF(D8="y","Actual Vol Change","Actual Level Change")</f>
        <v>Actual Level Change</v>
      </c>
      <c r="D102" s="124" t="e">
        <f>'Tank#6'!J73</f>
        <v>#DIV/0!</v>
      </c>
      <c r="E102" s="80" t="str">
        <f>IF(OR($D$7="c",$D$7="h",$D$7="r"),E99-E100,IF($D$8="y",($D$6*10^6)*(E99-E100),""))</f>
        <v/>
      </c>
      <c r="F102" s="80" t="str">
        <f>IF(OR($D$7="c",$D$7="h",$D$7="r"),F99-F100,IF($D$8="y",($D$6*10^6)*(F99-F100),""))</f>
        <v/>
      </c>
      <c r="G102" s="80" t="str">
        <f>IF(OR($D$7="c",$D$7="h",$D$7="r"),G99-G100,IF($D$8="y",($D$6*10^6)*(G99-G100),""))</f>
        <v/>
      </c>
      <c r="H102" s="80" t="str">
        <f>IF(OR($D$7="c",$D$7="h",$D$7="r"),H99-H100,IF($D$8="y",($D$6*10^6)*(H99-H100),""))</f>
        <v/>
      </c>
      <c r="I102" s="80" t="str">
        <f>IF(OR($D$7="c",$D$7="h",$D$7="r"),I99-I100,IF($D$8="y",($D$6*10^6)*(I99-I100),""))</f>
        <v/>
      </c>
      <c r="J102" s="95" t="str">
        <f>IF(OR(D7="c",D7="r"),"ft",IF(AND(D7="n",D8="y"),"gal",""))</f>
        <v/>
      </c>
      <c r="K102" s="95"/>
      <c r="L102" s="8"/>
      <c r="M102" s="8"/>
      <c r="N102" s="8"/>
      <c r="O102" s="94"/>
    </row>
    <row r="103" spans="2:15" ht="13" x14ac:dyDescent="0.3">
      <c r="B103" s="92"/>
      <c r="C103" s="123" t="s">
        <v>94</v>
      </c>
      <c r="D103" s="494" t="e">
        <f>IF('Tank Summary'!$K$16="y",IF((D99/$D$10)&lt;=1,10.2,(3.58*(D99/$D$10)+6.66)),"Tank mixing equations do not apply")</f>
        <v>#DIV/0!</v>
      </c>
      <c r="E103" s="494" t="e">
        <f>IF('Tank Summary'!$K$16="y",IF((E99/$D$10)&lt;=1,10.2,(3.58*(E99/$D$10)+6.66)),"Tank mixing equations do not apply")</f>
        <v>#DIV/0!</v>
      </c>
      <c r="F103" s="494" t="e">
        <f>IF('Tank Summary'!$K$16="y",IF((F99/$D$10)&lt;=1,10.2,(3.58*(F99/$D$10)+6.66)),"Tank mixing equations do not apply")</f>
        <v>#DIV/0!</v>
      </c>
      <c r="G103" s="494" t="e">
        <f>IF('Tank Summary'!$K$16="y",IF((G99/$D$10)&lt;=1,10.2,(3.58*(G99/$D$10)+6.66)),"Tank mixing equations do not apply")</f>
        <v>#DIV/0!</v>
      </c>
      <c r="H103" s="494" t="e">
        <f>IF('Tank Summary'!$K$16="y",IF((H99/$D$10)&lt;=1,10.2,(3.58*(H99/$D$10)+6.66)),"Tank mixing equations do not apply")</f>
        <v>#DIV/0!</v>
      </c>
      <c r="I103" s="494" t="e">
        <f>IF('Tank Summary'!$K$16="y",IF((I99/$D$10)&lt;=1,10.2,(3.58*(I99/$D$10)+6.66)),"Tank mixing equations do not apply")</f>
        <v>#DIV/0!</v>
      </c>
      <c r="J103" s="95"/>
      <c r="K103" s="95"/>
      <c r="L103" s="8"/>
      <c r="M103" s="8"/>
      <c r="N103" s="8"/>
      <c r="O103" s="94"/>
    </row>
    <row r="104" spans="2:15" ht="26" x14ac:dyDescent="0.3">
      <c r="B104" s="92"/>
      <c r="C104" s="123" t="str">
        <f>IF(D8="y","Desired Vol Change Needed for Good Mixing","Desired Level Change Needed for Good Mixing")</f>
        <v>Desired Level Change Needed for Good Mixing</v>
      </c>
      <c r="D104" s="124" t="e">
        <f>'Tank#6'!J74</f>
        <v>#DIV/0!</v>
      </c>
      <c r="E104" s="80" t="str">
        <f>IF(OR($D$7="c",$D$7="h"),(((E103/1.13)*E98)/((E100*PI()*(E96/2)^2)^(1/3)))*E100,IF($D$7="r",(((E103/1.13)*E98)/((E100*E96*E97)^(1/3)))*E100,IF($D$8="y",(((E103/1.13)*E98)/(((E100*$D$6*10^6)/7.480519)^(1/3)))*(E100*$D$6*10^6),"")))</f>
        <v/>
      </c>
      <c r="F104" s="80" t="str">
        <f>IF(OR($D$7="c",$D$7="h"),(((F103/1.13)*F98)/((F100*PI()*(F96/2)^2)^(1/3)))*F100,IF($D$7="r",(((F103/1.13)*F98)/((F100*F96*F97)^(1/3)))*F100,IF($D$8="y",(((F103/1.13)*F98)/(((F100*$D$6*10^6)/7.480519)^(1/3)))*(F100*$D$6*10^6),"")))</f>
        <v/>
      </c>
      <c r="G104" s="80" t="str">
        <f>IF(OR($D$7="c",$D$7="h"),(((G103/1.13)*G98)/((G100*PI()*(G96/2)^2)^(1/3)))*G100,IF($D$7="r",(((G103/1.13)*G98)/((G100*G96*G97)^(1/3)))*G100,IF($D$8="y",(((G103/1.13)*G98)/(((G100*$D$6*10^6)/7.480519)^(1/3)))*(G100*$D$6*10^6),"")))</f>
        <v/>
      </c>
      <c r="H104" s="80" t="str">
        <f>IF(OR($D$7="c",$D$7="h"),(((H103/1.13)*H98)/((H100*PI()*(H96/2)^2)^(1/3)))*H100,IF($D$7="r",(((H103/1.13)*H98)/((H100*H96*H97)^(1/3)))*H100,IF($D$8="y",(((H103/1.13)*H98)/(((H100*$D$6*10^6)/7.480519)^(1/3)))*(H100*$D$6*10^6),"")))</f>
        <v/>
      </c>
      <c r="I104" s="80" t="str">
        <f>IF(OR($D$7="c",$D$7="h"),(((I103/1.13)*I98)/((I100*PI()*(I96/2)^2)^(1/3)))*I100,IF($D$7="r",(((I103/1.13)*I98)/((I100*I96*I97)^(1/3)))*I100,IF($D$8="y",(((I103/1.13)*I98)/(((I100*$D$6*10^6)/7.480519)^(1/3)))*(I100*$D$6*10^6),"")))</f>
        <v/>
      </c>
      <c r="J104" s="95" t="str">
        <f>IF(OR(D7="c",D7="r"),"ft",IF(AND(D7="n",D8="y"),"gal",""))</f>
        <v/>
      </c>
      <c r="K104" s="95"/>
      <c r="L104" s="8"/>
      <c r="M104" s="8"/>
      <c r="N104" s="8"/>
      <c r="O104" s="94"/>
    </row>
    <row r="105" spans="2:15" ht="39" customHeight="1" x14ac:dyDescent="0.3">
      <c r="B105" s="92"/>
      <c r="C105" s="105" t="str">
        <f>IF(D8="y","","Pressure Drop After Change in Min Water Level")</f>
        <v>Pressure Drop After Change in Min Water Level</v>
      </c>
      <c r="D105" s="12"/>
      <c r="E105" s="12">
        <f>IF($D$8="y","",($D$100-E100)/2.31)</f>
        <v>0</v>
      </c>
      <c r="F105" s="12">
        <f>IF($D$8="y","",($D$100-F100)/2.31)</f>
        <v>0</v>
      </c>
      <c r="G105" s="12">
        <f>IF($D$8="y","",($D$100-G100)/2.31)</f>
        <v>0</v>
      </c>
      <c r="H105" s="12">
        <f>IF($D$8="y","",($D$100-H100)/2.31)</f>
        <v>0</v>
      </c>
      <c r="I105" s="12">
        <f>IF($D$8="y","",($D$100-I100)/2.31)</f>
        <v>0</v>
      </c>
      <c r="J105" s="95" t="str">
        <f>IF(OR(D7="c",D7="r",D7="h"),"psi",IF(AND(D7="n",D8="y"),"",""))</f>
        <v/>
      </c>
      <c r="K105" s="95"/>
      <c r="L105" s="8"/>
      <c r="M105" s="8"/>
      <c r="N105" s="8"/>
      <c r="O105" s="94"/>
    </row>
    <row r="106" spans="2:15" ht="13" x14ac:dyDescent="0.3">
      <c r="B106" s="92"/>
      <c r="C106" s="123" t="s">
        <v>287</v>
      </c>
      <c r="D106" s="33" t="e">
        <f>'Tank#6'!E74</f>
        <v>#DIV/0!</v>
      </c>
      <c r="E106" s="33" t="e">
        <f>D106</f>
        <v>#DIV/0!</v>
      </c>
      <c r="F106" s="33" t="e">
        <f>E106</f>
        <v>#DIV/0!</v>
      </c>
      <c r="G106" s="33" t="e">
        <f>F106</f>
        <v>#DIV/0!</v>
      </c>
      <c r="H106" s="159" t="e">
        <f>G106</f>
        <v>#DIV/0!</v>
      </c>
      <c r="I106" s="159" t="e">
        <f>H106</f>
        <v>#DIV/0!</v>
      </c>
      <c r="J106" s="95" t="s">
        <v>26</v>
      </c>
      <c r="K106" s="95"/>
      <c r="L106" s="8"/>
      <c r="M106" s="8"/>
      <c r="N106" s="8"/>
      <c r="O106" s="94"/>
    </row>
    <row r="107" spans="2:15" ht="26" x14ac:dyDescent="0.3">
      <c r="B107" s="92"/>
      <c r="C107" s="105" t="s">
        <v>286</v>
      </c>
      <c r="D107" s="33" t="e">
        <f>'Tank#6'!E75</f>
        <v>#DIV/0!</v>
      </c>
      <c r="E107" s="33" t="e">
        <f>D107</f>
        <v>#DIV/0!</v>
      </c>
      <c r="F107" s="33" t="e">
        <f>D107</f>
        <v>#DIV/0!</v>
      </c>
      <c r="G107" s="33" t="e">
        <f>D107</f>
        <v>#DIV/0!</v>
      </c>
      <c r="H107" s="159" t="e">
        <f>D107</f>
        <v>#DIV/0!</v>
      </c>
      <c r="I107" s="159" t="e">
        <f>D107</f>
        <v>#DIV/0!</v>
      </c>
      <c r="J107" s="95" t="s">
        <v>26</v>
      </c>
      <c r="K107" s="95"/>
      <c r="L107" s="8"/>
      <c r="M107" s="8"/>
      <c r="N107" s="8"/>
      <c r="O107" s="94"/>
    </row>
    <row r="108" spans="2:15" ht="13" x14ac:dyDescent="0.3">
      <c r="B108" s="92"/>
      <c r="C108" s="123" t="s">
        <v>36</v>
      </c>
      <c r="D108" s="11" t="e">
        <f>'Tank#6'!E72</f>
        <v>#DIV/0!</v>
      </c>
      <c r="E108" s="11" t="e">
        <f>ROUND(IF(OR($D$7="c",$D$7="h"),(E99-E100)*PI()*((E96/2)^2)*7.480519/(E106*24*60),IF($D$7="r",(E99-E100)*E96*E97*7.480519/(E106*24*60),IF($D$8="y",((E99*$D$6*10^6)-(E100*$D$6*10^6))/(E106*24*60),""))),2)</f>
        <v>#VALUE!</v>
      </c>
      <c r="F108" s="11" t="e">
        <f>ROUND(IF(OR($D$7="c",$D$7="h"),(F99-F100)*PI()*((F96/2)^2)*7.480519/(F106*24*60),IF($D$7="r",(F99-F100)*F96*F97*7.480519/(F106*24*60),IF($D$8="y",((F99*$D$6*10^6)-(F100*$D$6*10^6))/(F106*24*60),""))),2)</f>
        <v>#VALUE!</v>
      </c>
      <c r="G108" s="11" t="e">
        <f>ROUND(IF(OR($D$7="c",$D$7="h"),(G99-G100)*PI()*((G96/2)^2)*7.480519/(G106*24*60),IF($D$7="r",(G99-G100)*G96*G97*7.480519/(G106*24*60),IF($D$8="y",((G99*$D$6*10^6)-(G100*$D$6*10^6))/(G106*24*60),""))),2)</f>
        <v>#VALUE!</v>
      </c>
      <c r="H108" s="11" t="e">
        <f>ROUND(IF(OR($D$7="c",$D$7="h"),(H99-H100)*PI()*((H96/2)^2)*7.480519/(H106*24*60),IF($D$7="r",(H99-H100)*H96*H97*7.480519/(H106*24*60),IF($D$8="y",((H99*$D$6*10^6)-(H100*$D$6*10^6))/(H106*24*60),""))),2)</f>
        <v>#VALUE!</v>
      </c>
      <c r="I108" s="11" t="e">
        <f>ROUND(IF(OR($D$7="c",$D$7="h"),(I99-I100)*PI()*((I96/2)^2)*7.480519/(I106*24*60),IF($D$7="r",(I99-I100)*I96*I97*7.480519/(I106*24*60),IF($D$8="y",((I99*$D$6*10^6)-(I100*$D$6*10^6))/(I106*24*60),""))),2)</f>
        <v>#VALUE!</v>
      </c>
      <c r="J108" s="95" t="s">
        <v>2</v>
      </c>
      <c r="K108" s="95"/>
      <c r="L108" s="8"/>
      <c r="M108" s="8"/>
      <c r="N108" s="8"/>
      <c r="O108" s="94"/>
    </row>
    <row r="109" spans="2:15" ht="13" x14ac:dyDescent="0.3">
      <c r="B109" s="92"/>
      <c r="C109" s="105" t="s">
        <v>37</v>
      </c>
      <c r="D109" s="11" t="e">
        <f>'Tank#6'!E73</f>
        <v>#DIV/0!</v>
      </c>
      <c r="E109" s="11" t="e">
        <f>ROUND(IF(OR($D$7="c",$D$7="h"),(E99-E100)*PI()*((E96/2)^2)*7.480519/(E107*24*60),IF($D$7="r",(E99-E100)*E96*E97*7.480519/(E107*24*60),IF($D$8="y",((E99*$D$6*10^6)-(E100*$D$6*10^6))/(E107*24*60),""))),2)</f>
        <v>#VALUE!</v>
      </c>
      <c r="F109" s="11" t="e">
        <f>ROUND(IF(OR($D$7="c",$D$7="h"),(F99-F100)*PI()*((F96/2)^2)*7.480519/(F107*24*60),IF($D$7="r",(F99-F100)*F96*F97*7.480519/(F107*24*60),IF($D$8="y",((F99*$D$6*10^6)-(F100*$D$6*10^6))/(F107*24*60),""))),2)</f>
        <v>#VALUE!</v>
      </c>
      <c r="G109" s="11" t="e">
        <f>ROUND(IF(OR($D$7="c",$D$7="h"),(G99-G100)*PI()*((G96/2)^2)*7.480519/(G107*24*60),IF($D$7="r",(G99-G100)*G96*G97*7.480519/(G107*24*60),IF($D$8="y",((G99*$D$6*10^6)-(G100*$D$6*10^6))/(G107*24*60),""))),2)</f>
        <v>#VALUE!</v>
      </c>
      <c r="H109" s="11" t="e">
        <f>ROUND(IF(OR($D$7="c",$D$7="h"),(H99-H100)*PI()*((H96/2)^2)*7.480519/(H107*24*60),IF($D$7="r",(H99-H100)*H96*H97*7.480519/(H107*24*60),IF($D$8="y",((H99*$D$6*10^6)-(H100*$D$6*10^6))/(H107*24*60),""))),2)</f>
        <v>#VALUE!</v>
      </c>
      <c r="I109" s="11" t="e">
        <f>ROUND(IF(OR($D$7="c",$D$7="h"),(I99-I100)*PI()*((I96/2)^2)*7.480519/(I107*24*60),IF($D$7="r",(I99-I100)*I96*I97*7.480519/(I107*24*60),IF($D$8="y",((I99*$D$6*10^6)-(I100*$D$6*10^6))/(I107*24*60),""))),2)</f>
        <v>#VALUE!</v>
      </c>
      <c r="J109" s="95" t="s">
        <v>2</v>
      </c>
      <c r="K109" s="95"/>
      <c r="L109" s="8"/>
      <c r="M109" s="8"/>
      <c r="N109" s="8"/>
      <c r="O109" s="94"/>
    </row>
    <row r="110" spans="2:15" ht="26" x14ac:dyDescent="0.3">
      <c r="B110" s="92"/>
      <c r="C110" s="123" t="s">
        <v>288</v>
      </c>
      <c r="D110" s="11" t="e">
        <f>'Tank#6'!E70</f>
        <v>#DIV/0!</v>
      </c>
      <c r="E110" s="11" t="str">
        <f>IF(OR($D$7="c",$D$7="h"),(E99-E100)*PI()*((E96/2)^2)*7.480519/10^6,IF($D$7="r",(E99-E100)*E96*E97*7.480519/10^6,IF($D$8="y",((E99*$D$6*10^6)-(E100*$D$6*10^6))/10^6,"")))</f>
        <v/>
      </c>
      <c r="F110" s="11" t="str">
        <f>IF(OR($D$7="c",$D$7="h"),(F99-F100)*PI()*((F96/2)^2)*7.480519/10^6,IF($D$7="r",(F99-F100)*F96*F97*7.480519/10^6,IF($D$8="y",((F99*$D$6*10^6)-(F100*$D$6*10^6))/10^6,"")))</f>
        <v/>
      </c>
      <c r="G110" s="11" t="str">
        <f>IF(OR($D$7="c",$D$7="h"),(G99-G100)*PI()*((G96/2)^2)*7.480519/10^6,IF($D$7="r",(G99-G100)*G96*G97*7.480519/10^6,IF($D$8="y",((G99*$D$6*10^6)-(G100*$D$6*10^6))/10^6,"")))</f>
        <v/>
      </c>
      <c r="H110" s="11" t="str">
        <f>IF(OR($D$7="c",$D$7="h"),(H99-H100)*PI()*((H96/2)^2)*7.480519/10^6,IF($D$7="r",(H99-H100)*H96*H97*7.480519/10^6,IF($D$8="y",((H99*$D$6*10^6)-(H100*$D$6*10^6))/10^6,"")))</f>
        <v/>
      </c>
      <c r="I110" s="11" t="str">
        <f>IF(OR($D$7="c",$D$7="h"),(I99-I100)*PI()*((I96/2)^2)*7.480519/10^6,IF($D$7="r",(I99-I100)*I96*I97*7.480519/10^6,IF($D$8="y",((I99*$D$6*10^6)-(I100*$D$6*10^6))/10^6,"")))</f>
        <v/>
      </c>
      <c r="J110" s="95" t="s">
        <v>5</v>
      </c>
      <c r="K110" s="95"/>
      <c r="L110" s="8"/>
      <c r="M110" s="8"/>
      <c r="N110" s="8"/>
      <c r="O110" s="94"/>
    </row>
    <row r="111" spans="2:15" ht="13" x14ac:dyDescent="0.3">
      <c r="B111" s="92"/>
      <c r="C111" s="105" t="s">
        <v>52</v>
      </c>
      <c r="D111" s="11" t="e">
        <f>'Tank#6'!E76</f>
        <v>#DIV/0!</v>
      </c>
      <c r="E111" s="11" t="e">
        <f>E109+E108</f>
        <v>#VALUE!</v>
      </c>
      <c r="F111" s="11" t="e">
        <f>F109+F108</f>
        <v>#VALUE!</v>
      </c>
      <c r="G111" s="11" t="e">
        <f>G109+G108</f>
        <v>#VALUE!</v>
      </c>
      <c r="H111" s="11" t="e">
        <f>H109+H108</f>
        <v>#VALUE!</v>
      </c>
      <c r="I111" s="11" t="e">
        <f>I109+I108</f>
        <v>#VALUE!</v>
      </c>
      <c r="J111" s="95" t="s">
        <v>2</v>
      </c>
      <c r="K111" s="95"/>
      <c r="L111" s="8"/>
      <c r="M111" s="8"/>
      <c r="N111" s="8"/>
      <c r="O111" s="94"/>
    </row>
    <row r="112" spans="2:15" ht="13" x14ac:dyDescent="0.3">
      <c r="B112" s="92"/>
      <c r="C112" s="123" t="s">
        <v>289</v>
      </c>
      <c r="D112" s="11" t="e">
        <f>'Tank#6'!$E$77</f>
        <v>#DIV/0!</v>
      </c>
      <c r="E112" s="32" t="e">
        <f>E110/E111</f>
        <v>#VALUE!</v>
      </c>
      <c r="F112" s="32" t="e">
        <f>F110/F111</f>
        <v>#VALUE!</v>
      </c>
      <c r="G112" s="32" t="e">
        <f>G110/G111</f>
        <v>#VALUE!</v>
      </c>
      <c r="H112" s="32" t="e">
        <f>H110/H111</f>
        <v>#VALUE!</v>
      </c>
      <c r="I112" s="32" t="e">
        <f>I110/I111</f>
        <v>#VALUE!</v>
      </c>
      <c r="J112" s="95" t="s">
        <v>3</v>
      </c>
      <c r="K112" s="95"/>
      <c r="L112" s="8"/>
      <c r="M112" s="8"/>
      <c r="N112" s="8"/>
      <c r="O112" s="94"/>
    </row>
    <row r="113" spans="2:15" ht="13" x14ac:dyDescent="0.3">
      <c r="B113" s="92"/>
      <c r="C113" s="105" t="s">
        <v>44</v>
      </c>
      <c r="D113" s="11" t="e">
        <f>'Tank#6'!$E$78</f>
        <v>#DIV/0!</v>
      </c>
      <c r="E113" s="32" t="str">
        <f>IF(OR($D$7="c",$D$7="h"),((E99+E100)/2)*PI()*((E96/2)^2)*7.480519/10^6,IF($D$7="r",((E99+E100)/2)*E96*E97*7.480519/10^6,IF($D$8="y",(((E99*$D$6*10^6)+(E100*$D$6*10^6))/2)/10^6,"")))</f>
        <v/>
      </c>
      <c r="F113" s="32" t="str">
        <f>IF(OR($D$7="c",$D$7="h"),((F99+F100)/2)*PI()*((F96/2)^2)*7.480519/10^6,IF($D$7="r",((F99+F100)/2)*F96*F97*7.480519/10^6,IF($D$8="y",(((F99*$D$6*10^6)+(F100*$D$6*10^6))/2)/10^6,"")))</f>
        <v/>
      </c>
      <c r="G113" s="32" t="str">
        <f>IF(OR($D$7="c",$D$7="h"),((G99+G100)/2)*PI()*((G96/2)^2)*7.480519/10^6,IF($D$7="r",((G99+G100)/2)*G96*G97*7.480519/10^6,IF($D$8="y",(((G99*$D$6*10^6)+(G100*$D$6*10^6))/2)/10^6,"")))</f>
        <v/>
      </c>
      <c r="H113" s="32" t="str">
        <f>IF(OR($D$7="c",$D$7="h"),((H99+H100)/2)*PI()*((H96/2)^2)*7.480519/10^6,IF($D$7="r",((H99+H100)/2)*H96*H97*7.480519/10^6,IF($D$8="y",(((H99*$D$6*10^6)+(H100*$D$6*10^6))/2)/10^6,"")))</f>
        <v/>
      </c>
      <c r="I113" s="32" t="str">
        <f>IF(OR($D$7="c",$D$7="h"),((I99+I100)/2)*PI()*((I96/2)^2)*7.480519/10^6,IF($D$7="r",((I99+I100)/2)*I96*I97*7.480519/10^6,IF($D$8="y",(((I99*$D$6*10^6)+(I100*$D$6*10^6))/2)/10^6,"")))</f>
        <v/>
      </c>
      <c r="J113" s="95" t="s">
        <v>5</v>
      </c>
      <c r="K113" s="95"/>
      <c r="L113" s="8"/>
      <c r="M113" s="8"/>
      <c r="N113" s="8"/>
      <c r="O113" s="94"/>
    </row>
    <row r="114" spans="2:15" ht="26" x14ac:dyDescent="0.3">
      <c r="B114" s="92"/>
      <c r="C114" s="137" t="s">
        <v>57</v>
      </c>
      <c r="D114" s="138" t="e">
        <f>'Tank#6'!J75</f>
        <v>#DIV/0!</v>
      </c>
      <c r="E114" s="139" t="e">
        <f>E102/E104</f>
        <v>#VALUE!</v>
      </c>
      <c r="F114" s="139" t="e">
        <f>F102/F104</f>
        <v>#VALUE!</v>
      </c>
      <c r="G114" s="139" t="e">
        <f>G102/G104</f>
        <v>#VALUE!</v>
      </c>
      <c r="H114" s="139" t="e">
        <f>H102/H104</f>
        <v>#VALUE!</v>
      </c>
      <c r="I114" s="139" t="e">
        <f>I102/I104</f>
        <v>#VALUE!</v>
      </c>
      <c r="J114" s="95"/>
      <c r="K114" s="95"/>
      <c r="L114" s="8"/>
      <c r="M114" s="8"/>
      <c r="N114" s="8"/>
      <c r="O114" s="94"/>
    </row>
    <row r="115" spans="2:15" ht="13" x14ac:dyDescent="0.3">
      <c r="B115" s="92"/>
      <c r="C115" s="137" t="s">
        <v>8</v>
      </c>
      <c r="D115" s="140" t="e">
        <f>'Tank#6'!$E$79</f>
        <v>#DIV/0!</v>
      </c>
      <c r="E115" s="140" t="e">
        <f>E113/E112</f>
        <v>#VALUE!</v>
      </c>
      <c r="F115" s="140" t="e">
        <f>F113/F112</f>
        <v>#VALUE!</v>
      </c>
      <c r="G115" s="140" t="e">
        <f>G113/G112</f>
        <v>#VALUE!</v>
      </c>
      <c r="H115" s="140" t="e">
        <f>H113/H112</f>
        <v>#VALUE!</v>
      </c>
      <c r="I115" s="140" t="e">
        <f>I113/I112</f>
        <v>#VALUE!</v>
      </c>
      <c r="J115" s="95" t="s">
        <v>2</v>
      </c>
      <c r="K115" s="95"/>
      <c r="L115" s="8"/>
      <c r="M115" s="8"/>
      <c r="N115" s="8"/>
      <c r="O115" s="94"/>
    </row>
    <row r="116" spans="2:15" ht="13.5" thickBot="1" x14ac:dyDescent="0.35">
      <c r="B116" s="101"/>
      <c r="C116" s="102"/>
      <c r="D116" s="102"/>
      <c r="E116" s="102"/>
      <c r="F116" s="102"/>
      <c r="G116" s="106"/>
      <c r="H116" s="106"/>
      <c r="I116" s="107"/>
      <c r="J116" s="102"/>
      <c r="K116" s="102"/>
      <c r="L116" s="102"/>
      <c r="M116" s="102"/>
      <c r="N116" s="102"/>
      <c r="O116" s="103"/>
    </row>
    <row r="117" spans="2:15" ht="18.5" hidden="1" thickBot="1" x14ac:dyDescent="0.45">
      <c r="B117" s="116" t="s">
        <v>191</v>
      </c>
      <c r="C117" s="111"/>
      <c r="D117" s="120"/>
      <c r="E117" s="111"/>
      <c r="F117" s="111"/>
      <c r="G117" s="111"/>
      <c r="H117" s="111"/>
      <c r="I117" s="111"/>
      <c r="J117" s="111"/>
      <c r="K117" s="111"/>
      <c r="L117" s="118"/>
      <c r="M117" s="118"/>
      <c r="N117" s="118"/>
      <c r="O117" s="119"/>
    </row>
    <row r="118" spans="2:15" hidden="1" x14ac:dyDescent="0.25">
      <c r="B118" s="149"/>
      <c r="C118" s="104"/>
      <c r="D118" s="104"/>
      <c r="E118" s="104"/>
      <c r="F118" s="104"/>
      <c r="G118" s="104"/>
      <c r="H118" s="104"/>
      <c r="I118" s="104"/>
      <c r="J118" s="104"/>
      <c r="K118" s="104"/>
      <c r="L118" s="90"/>
      <c r="M118" s="90"/>
      <c r="N118" s="90"/>
      <c r="O118" s="91"/>
    </row>
    <row r="119" spans="2:15" ht="13" hidden="1" x14ac:dyDescent="0.3">
      <c r="B119" s="92"/>
      <c r="C119" s="95" t="s">
        <v>86</v>
      </c>
      <c r="D119" s="29"/>
      <c r="E119" s="29"/>
      <c r="F119" s="29"/>
      <c r="G119" s="29"/>
      <c r="H119" s="29"/>
      <c r="I119" s="29"/>
      <c r="J119" s="29"/>
      <c r="K119" s="29"/>
      <c r="L119" s="8"/>
      <c r="M119" s="8"/>
      <c r="N119" s="8"/>
      <c r="O119" s="94"/>
    </row>
    <row r="120" spans="2:15" ht="13" hidden="1" x14ac:dyDescent="0.3">
      <c r="B120" s="92"/>
      <c r="C120" s="95" t="s">
        <v>88</v>
      </c>
      <c r="D120" s="29"/>
      <c r="E120" s="29"/>
      <c r="F120" s="29"/>
      <c r="G120" s="29"/>
      <c r="H120" s="29"/>
      <c r="I120" s="29"/>
      <c r="J120" s="29"/>
      <c r="K120" s="29"/>
      <c r="L120" s="8"/>
      <c r="M120" s="8"/>
      <c r="N120" s="8"/>
      <c r="O120" s="94"/>
    </row>
    <row r="121" spans="2:15" ht="13" hidden="1" x14ac:dyDescent="0.3">
      <c r="B121" s="92"/>
      <c r="C121" s="95" t="s">
        <v>89</v>
      </c>
      <c r="D121" s="29"/>
      <c r="E121" s="29"/>
      <c r="F121" s="29"/>
      <c r="G121" s="29"/>
      <c r="H121" s="29"/>
      <c r="I121" s="29"/>
      <c r="J121" s="29"/>
      <c r="K121" s="29"/>
      <c r="L121" s="8"/>
      <c r="M121" s="8"/>
      <c r="N121" s="8"/>
      <c r="O121" s="94"/>
    </row>
    <row r="122" spans="2:15" ht="13" hidden="1" x14ac:dyDescent="0.3">
      <c r="B122" s="92"/>
      <c r="C122" s="95" t="s">
        <v>90</v>
      </c>
      <c r="D122" s="29"/>
      <c r="E122" s="29"/>
      <c r="F122" s="29"/>
      <c r="G122" s="29"/>
      <c r="H122" s="29"/>
      <c r="I122" s="29"/>
      <c r="J122" s="29"/>
      <c r="K122" s="29"/>
      <c r="L122" s="8"/>
      <c r="M122" s="8"/>
      <c r="N122" s="8"/>
      <c r="O122" s="94"/>
    </row>
    <row r="123" spans="2:15" ht="13" hidden="1" x14ac:dyDescent="0.3">
      <c r="B123" s="92"/>
      <c r="C123" s="113"/>
      <c r="D123" s="29"/>
      <c r="E123" s="29"/>
      <c r="F123" s="29"/>
      <c r="G123" s="29"/>
      <c r="H123" s="29"/>
      <c r="I123" s="29"/>
      <c r="J123" s="29"/>
      <c r="K123" s="29"/>
      <c r="L123" s="8"/>
      <c r="M123" s="8"/>
      <c r="N123" s="8"/>
      <c r="O123" s="94"/>
    </row>
    <row r="124" spans="2:15" ht="39" hidden="1" x14ac:dyDescent="0.3">
      <c r="B124" s="92"/>
      <c r="C124" s="29"/>
      <c r="D124" s="133" t="s">
        <v>79</v>
      </c>
      <c r="E124" s="81" t="s">
        <v>45</v>
      </c>
      <c r="F124" s="81" t="s">
        <v>46</v>
      </c>
      <c r="G124" s="81" t="s">
        <v>47</v>
      </c>
      <c r="H124" s="81" t="s">
        <v>48</v>
      </c>
      <c r="I124" s="81" t="s">
        <v>49</v>
      </c>
      <c r="J124" s="29"/>
      <c r="K124" s="29"/>
      <c r="L124" s="8"/>
      <c r="M124" s="8"/>
      <c r="N124" s="8"/>
      <c r="O124" s="94"/>
    </row>
    <row r="125" spans="2:15" ht="13" hidden="1" x14ac:dyDescent="0.3">
      <c r="B125" s="92"/>
      <c r="C125" s="123" t="str">
        <f>IF(D49="y","Fraction Full (Max Level)","High/Max Level")</f>
        <v>High/Max Level</v>
      </c>
      <c r="D125" s="132" t="b">
        <f>IF(OR($D$7="c",$D$7="r",D7="h"),(SUM(E53:E67)/COUNTIF(E53:E67,"&gt;0")),IF($D$8="y",(SUM(E53:E67)/COUNTIF(E53:E67,"&gt;0"))/($D$6*10^6)))</f>
        <v>0</v>
      </c>
      <c r="E125" s="135">
        <f t="shared" ref="E125:I126" si="11">E99</f>
        <v>0</v>
      </c>
      <c r="F125" s="135">
        <f t="shared" si="11"/>
        <v>0</v>
      </c>
      <c r="G125" s="135">
        <f t="shared" si="11"/>
        <v>0</v>
      </c>
      <c r="H125" s="135">
        <f t="shared" si="11"/>
        <v>0</v>
      </c>
      <c r="I125" s="135">
        <f t="shared" si="11"/>
        <v>0</v>
      </c>
      <c r="J125" s="95" t="str">
        <f>IF(D49="y","","ft")</f>
        <v>ft</v>
      </c>
      <c r="K125" s="95"/>
      <c r="L125" s="8"/>
      <c r="M125" s="8"/>
      <c r="N125" s="8"/>
      <c r="O125" s="94"/>
    </row>
    <row r="126" spans="2:15" ht="13" hidden="1" x14ac:dyDescent="0.3">
      <c r="B126" s="92"/>
      <c r="C126" s="123" t="str">
        <f>IF(D49="y","Fraction Full (Min Level)","Low/Min Level")</f>
        <v>Low/Min Level</v>
      </c>
      <c r="D126" s="132" t="b">
        <f>IF(OR($D$7="c",$D$7="r",D7="h"),(SUM(D53:D67)/COUNTIF(D53:D67,"&gt;0")),IF($D$8="y",(SUM(D53:D67)/COUNTIF(D53:D67,"&gt;0"))/($D$6*10^6)))</f>
        <v>0</v>
      </c>
      <c r="E126" s="135">
        <f t="shared" si="11"/>
        <v>0</v>
      </c>
      <c r="F126" s="135">
        <f t="shared" si="11"/>
        <v>0</v>
      </c>
      <c r="G126" s="135">
        <f t="shared" si="11"/>
        <v>0</v>
      </c>
      <c r="H126" s="135">
        <f t="shared" si="11"/>
        <v>0</v>
      </c>
      <c r="I126" s="135">
        <f t="shared" si="11"/>
        <v>0</v>
      </c>
      <c r="J126" s="95" t="str">
        <f>IF(D49="y","","ft")</f>
        <v>ft</v>
      </c>
      <c r="K126" s="95"/>
      <c r="L126" s="8"/>
      <c r="M126" s="8"/>
      <c r="N126" s="8"/>
      <c r="O126" s="94"/>
    </row>
    <row r="127" spans="2:15" ht="24.75" hidden="1" customHeight="1" x14ac:dyDescent="0.3">
      <c r="B127" s="92"/>
      <c r="C127" s="137" t="s">
        <v>87</v>
      </c>
      <c r="D127" s="141" t="e">
        <f>D114</f>
        <v>#DIV/0!</v>
      </c>
      <c r="E127" s="141" t="e">
        <f t="shared" ref="E127:I128" si="12">E114</f>
        <v>#VALUE!</v>
      </c>
      <c r="F127" s="141" t="e">
        <f t="shared" si="12"/>
        <v>#VALUE!</v>
      </c>
      <c r="G127" s="141" t="e">
        <f t="shared" si="12"/>
        <v>#VALUE!</v>
      </c>
      <c r="H127" s="141" t="e">
        <f t="shared" si="12"/>
        <v>#VALUE!</v>
      </c>
      <c r="I127" s="141" t="e">
        <f t="shared" si="12"/>
        <v>#VALUE!</v>
      </c>
      <c r="J127" s="95"/>
      <c r="K127" s="95"/>
      <c r="L127" s="8"/>
      <c r="M127" s="8"/>
      <c r="N127" s="8"/>
      <c r="O127" s="94"/>
    </row>
    <row r="128" spans="2:15" ht="13" hidden="1" x14ac:dyDescent="0.3">
      <c r="B128" s="92"/>
      <c r="C128" s="137" t="s">
        <v>8</v>
      </c>
      <c r="D128" s="142" t="e">
        <f>D115</f>
        <v>#DIV/0!</v>
      </c>
      <c r="E128" s="140" t="e">
        <f t="shared" si="12"/>
        <v>#VALUE!</v>
      </c>
      <c r="F128" s="140" t="e">
        <f t="shared" si="12"/>
        <v>#VALUE!</v>
      </c>
      <c r="G128" s="140" t="e">
        <f t="shared" si="12"/>
        <v>#VALUE!</v>
      </c>
      <c r="H128" s="140" t="e">
        <f t="shared" si="12"/>
        <v>#VALUE!</v>
      </c>
      <c r="I128" s="140" t="e">
        <f t="shared" si="12"/>
        <v>#VALUE!</v>
      </c>
      <c r="J128" s="95" t="s">
        <v>2</v>
      </c>
      <c r="K128" s="95"/>
      <c r="L128" s="8"/>
      <c r="M128" s="8"/>
      <c r="N128" s="8"/>
      <c r="O128" s="94"/>
    </row>
    <row r="129" spans="2:15" ht="39" hidden="1" x14ac:dyDescent="0.3">
      <c r="B129" s="92"/>
      <c r="C129" s="161" t="s">
        <v>84</v>
      </c>
      <c r="D129" s="146">
        <v>0.14929999999999999</v>
      </c>
      <c r="E129" s="162">
        <f>D129</f>
        <v>0.14929999999999999</v>
      </c>
      <c r="F129" s="162">
        <f>D129</f>
        <v>0.14929999999999999</v>
      </c>
      <c r="G129" s="162">
        <f>D129</f>
        <v>0.14929999999999999</v>
      </c>
      <c r="H129" s="162">
        <f>D129</f>
        <v>0.14929999999999999</v>
      </c>
      <c r="I129" s="162">
        <f>D129</f>
        <v>0.14929999999999999</v>
      </c>
      <c r="J129" s="95" t="s">
        <v>76</v>
      </c>
      <c r="K129" s="95"/>
      <c r="L129" s="8"/>
      <c r="M129" s="8"/>
      <c r="N129" s="8"/>
      <c r="O129" s="94"/>
    </row>
    <row r="130" spans="2:15" ht="26" hidden="1" x14ac:dyDescent="0.3">
      <c r="B130" s="92"/>
      <c r="C130" s="123" t="s">
        <v>80</v>
      </c>
      <c r="D130" s="124" t="e">
        <f>SUM(F53:F67)/COUNTIF(F53:F67,"&gt;0")</f>
        <v>#DIV/0!</v>
      </c>
      <c r="E130" s="124" t="str">
        <f>IF(OR($D$7="c",$D$7="h"),(E100)*PI()*($D$10/2)^2*7.48/10^6,IF($D$7="r",E100*$D$10*$D$11*7.48/10^6,IF($D$8="y",E100/10^6,"error")))</f>
        <v>error</v>
      </c>
      <c r="F130" s="124" t="str">
        <f>IF(OR($D$7="c",$D$7="h"),(F100)*PI()*($D$10/2)^2*7.48/10^6,IF($D$7="r",F100*$D$10*$D$11*7.48/10^6,IF($D$8="y",F100/10^6,"error")))</f>
        <v>error</v>
      </c>
      <c r="G130" s="124" t="str">
        <f>IF(OR($D$7="c",$D$7="h"),(G100)*PI()*($D$10/2)^2*7.48/10^6,IF($D$7="r",G100*$D$10*$D$11*7.48/10^6,IF($D$8="y",G100/10^6,"error")))</f>
        <v>error</v>
      </c>
      <c r="H130" s="124" t="str">
        <f>IF(OR($D$7="c",$D$7="h"),(H100)*PI()*($D$10/2)^2*7.48/10^6,IF($D$7="r",H100*$D$10*$D$11*7.48/10^6,IF($D$8="y",H100/10^6,"error")))</f>
        <v>error</v>
      </c>
      <c r="I130" s="124" t="str">
        <f>IF(OR($D$7="c",$D$7="h"),(I100)*PI()*($D$10/2)^2*7.48/10^6,IF($D$7="r",I100*$D$10*$D$11*7.48/10^6,IF($D$8="y",I100/10^6,"error")))</f>
        <v>error</v>
      </c>
      <c r="J130" s="95" t="s">
        <v>5</v>
      </c>
      <c r="K130" s="95"/>
      <c r="L130" s="8"/>
      <c r="M130" s="8"/>
      <c r="N130" s="8"/>
      <c r="O130" s="94"/>
    </row>
    <row r="131" spans="2:15" ht="39" hidden="1" x14ac:dyDescent="0.3">
      <c r="B131" s="92"/>
      <c r="C131" s="125" t="s">
        <v>81</v>
      </c>
      <c r="D131" s="124" t="e">
        <f>SUM(F53:F67)/COUNTIF(F53:F67,"&gt;0")+SUM(G53:G67)/COUNTIF(G53:G67,"&gt;0")</f>
        <v>#DIV/0!</v>
      </c>
      <c r="E131" s="11" t="str">
        <f>IF(OR($D$7="c",$D$7="h"),(E99)*PI()*($D$10/2)^2*7.48/10^6,IF($D$7="r",E99*$D$10*$D$11*7.48/10^6,IF($D$8="y",E99/10^6,"error")))</f>
        <v>error</v>
      </c>
      <c r="F131" s="11" t="str">
        <f>IF(OR($D$7="c",$D$7="h"),(F99)*PI()*($D$10/2)^2*7.48/10^6,IF($D$7="r",F99*$D$10*$D$11*7.48/10^6,IF($D$8="y",F99/10^6,"error")))</f>
        <v>error</v>
      </c>
      <c r="G131" s="11" t="str">
        <f>IF(OR($D$7="c",$D$7="h"),(G99)*PI()*($D$10/2)^2*7.48/10^6,IF($D$7="r",G99*$D$10*$D$11*7.48/10^6,IF($D$8="y",G99/10^6,"error")))</f>
        <v>error</v>
      </c>
      <c r="H131" s="11" t="str">
        <f>IF(OR($D$7="c",$D$7="h"),(H99)*PI()*($D$10/2)^2*7.48/10^6,IF($D$7="r",H99*$D$10*$D$11*7.48/10^6,IF($D$8="y",H99/10^6,"error")))</f>
        <v>error</v>
      </c>
      <c r="I131" s="11" t="str">
        <f>IF(OR($D$7="c",$D$7="h"),(I99)*PI()*($D$10/2)^2*7.48/10^6,IF($D$7="r",I99*$D$10*$D$11*7.48/10^6,IF($D$8="y",I99/10^6,"error")))</f>
        <v>error</v>
      </c>
      <c r="J131" s="95" t="s">
        <v>5</v>
      </c>
      <c r="K131" s="95"/>
      <c r="L131" s="8"/>
      <c r="M131" s="8"/>
      <c r="N131" s="8"/>
      <c r="O131" s="94"/>
    </row>
    <row r="132" spans="2:15" ht="13" hidden="1" x14ac:dyDescent="0.3">
      <c r="B132" s="92"/>
      <c r="C132" s="123" t="s">
        <v>83</v>
      </c>
      <c r="D132" s="124" t="e">
        <f t="shared" ref="D132:I133" si="13">D108</f>
        <v>#DIV/0!</v>
      </c>
      <c r="E132" s="124" t="e">
        <f t="shared" si="13"/>
        <v>#VALUE!</v>
      </c>
      <c r="F132" s="124" t="e">
        <f t="shared" si="13"/>
        <v>#VALUE!</v>
      </c>
      <c r="G132" s="124" t="e">
        <f t="shared" si="13"/>
        <v>#VALUE!</v>
      </c>
      <c r="H132" s="124" t="e">
        <f t="shared" si="13"/>
        <v>#VALUE!</v>
      </c>
      <c r="I132" s="124" t="e">
        <f t="shared" si="13"/>
        <v>#VALUE!</v>
      </c>
      <c r="J132" s="95" t="s">
        <v>2</v>
      </c>
      <c r="K132" s="95"/>
      <c r="L132" s="8"/>
      <c r="M132" s="8"/>
      <c r="N132" s="8"/>
      <c r="O132" s="94"/>
    </row>
    <row r="133" spans="2:15" ht="13" hidden="1" x14ac:dyDescent="0.3">
      <c r="B133" s="92"/>
      <c r="C133" s="123" t="s">
        <v>82</v>
      </c>
      <c r="D133" s="132" t="e">
        <f t="shared" si="13"/>
        <v>#DIV/0!</v>
      </c>
      <c r="E133" s="132" t="e">
        <f t="shared" si="13"/>
        <v>#VALUE!</v>
      </c>
      <c r="F133" s="132" t="e">
        <f t="shared" si="13"/>
        <v>#VALUE!</v>
      </c>
      <c r="G133" s="132" t="e">
        <f t="shared" si="13"/>
        <v>#VALUE!</v>
      </c>
      <c r="H133" s="132" t="e">
        <f t="shared" si="13"/>
        <v>#VALUE!</v>
      </c>
      <c r="I133" s="132" t="e">
        <f t="shared" si="13"/>
        <v>#VALUE!</v>
      </c>
      <c r="J133" s="95" t="s">
        <v>2</v>
      </c>
      <c r="K133" s="95"/>
      <c r="L133" s="8"/>
      <c r="M133" s="8"/>
      <c r="N133" s="8"/>
      <c r="O133" s="94"/>
    </row>
    <row r="134" spans="2:15" ht="39" hidden="1" x14ac:dyDescent="0.3">
      <c r="B134" s="92"/>
      <c r="C134" s="123" t="s">
        <v>91</v>
      </c>
      <c r="D134" s="144" t="e">
        <f t="shared" ref="D134:I134" si="14">(D130/(D131-D130))*(D133+D132)+D133+D132*(1-((D130/(D131-D130))-ROUNDDOWN((D130/(D131-D130)),0)))</f>
        <v>#DIV/0!</v>
      </c>
      <c r="E134" s="144" t="e">
        <f t="shared" si="14"/>
        <v>#VALUE!</v>
      </c>
      <c r="F134" s="144" t="e">
        <f t="shared" si="14"/>
        <v>#VALUE!</v>
      </c>
      <c r="G134" s="144" t="e">
        <f t="shared" si="14"/>
        <v>#VALUE!</v>
      </c>
      <c r="H134" s="144" t="e">
        <f t="shared" si="14"/>
        <v>#VALUE!</v>
      </c>
      <c r="I134" s="144" t="e">
        <f t="shared" si="14"/>
        <v>#VALUE!</v>
      </c>
      <c r="J134" s="95" t="s">
        <v>2</v>
      </c>
      <c r="K134" s="95"/>
      <c r="L134" s="8"/>
      <c r="M134" s="8"/>
      <c r="N134" s="8"/>
      <c r="O134" s="94"/>
    </row>
    <row r="135" spans="2:15" ht="40.5" hidden="1" customHeight="1" x14ac:dyDescent="0.3">
      <c r="B135" s="92"/>
      <c r="C135" s="161" t="s">
        <v>85</v>
      </c>
      <c r="D135" s="146">
        <v>1.57</v>
      </c>
      <c r="E135" s="163">
        <f>D135</f>
        <v>1.57</v>
      </c>
      <c r="F135" s="163">
        <f>D135</f>
        <v>1.57</v>
      </c>
      <c r="G135" s="163">
        <f>D135</f>
        <v>1.57</v>
      </c>
      <c r="H135" s="163">
        <f>D135</f>
        <v>1.57</v>
      </c>
      <c r="I135" s="163">
        <f>D135</f>
        <v>1.57</v>
      </c>
      <c r="J135" s="95" t="s">
        <v>78</v>
      </c>
      <c r="K135" s="95"/>
      <c r="L135" s="8"/>
      <c r="M135" s="8"/>
      <c r="N135" s="8"/>
      <c r="O135" s="94"/>
    </row>
    <row r="136" spans="2:15" ht="41" hidden="1" x14ac:dyDescent="0.3">
      <c r="B136" s="92"/>
      <c r="C136" s="143" t="s">
        <v>109</v>
      </c>
      <c r="D136" s="145" t="e">
        <f t="shared" ref="D136:I136" si="15">((EXP(-D129*D133)-EXP(-D129*(D132+D133)))*D135)/(D129*D132*(1+(D130/(D131-D130))*(1-EXP(-D129*(D132+D133)))))</f>
        <v>#DIV/0!</v>
      </c>
      <c r="E136" s="145" t="e">
        <f t="shared" si="15"/>
        <v>#VALUE!</v>
      </c>
      <c r="F136" s="145" t="e">
        <f t="shared" si="15"/>
        <v>#VALUE!</v>
      </c>
      <c r="G136" s="145" t="e">
        <f t="shared" si="15"/>
        <v>#VALUE!</v>
      </c>
      <c r="H136" s="145" t="e">
        <f t="shared" si="15"/>
        <v>#VALUE!</v>
      </c>
      <c r="I136" s="145" t="e">
        <f t="shared" si="15"/>
        <v>#VALUE!</v>
      </c>
      <c r="J136" s="95" t="s">
        <v>78</v>
      </c>
      <c r="K136" s="95"/>
      <c r="L136" s="8"/>
      <c r="M136" s="8"/>
      <c r="N136" s="8"/>
      <c r="O136" s="94"/>
    </row>
    <row r="137" spans="2:15" ht="41" hidden="1" x14ac:dyDescent="0.3">
      <c r="B137" s="92"/>
      <c r="C137" s="143" t="s">
        <v>108</v>
      </c>
      <c r="D137" s="145" t="e">
        <f t="shared" ref="D137:I137" si="16">D135*EXP(-D129*D134)</f>
        <v>#DIV/0!</v>
      </c>
      <c r="E137" s="145" t="e">
        <f t="shared" si="16"/>
        <v>#VALUE!</v>
      </c>
      <c r="F137" s="145" t="e">
        <f t="shared" si="16"/>
        <v>#VALUE!</v>
      </c>
      <c r="G137" s="145" t="e">
        <f t="shared" si="16"/>
        <v>#VALUE!</v>
      </c>
      <c r="H137" s="145" t="e">
        <f t="shared" si="16"/>
        <v>#VALUE!</v>
      </c>
      <c r="I137" s="145" t="e">
        <f t="shared" si="16"/>
        <v>#VALUE!</v>
      </c>
      <c r="J137" s="95" t="s">
        <v>78</v>
      </c>
      <c r="K137" s="95"/>
      <c r="L137" s="8"/>
      <c r="M137" s="8"/>
      <c r="N137" s="8"/>
      <c r="O137" s="94"/>
    </row>
    <row r="138" spans="2:15" hidden="1" x14ac:dyDescent="0.25">
      <c r="B138" s="92"/>
      <c r="C138" s="8" t="s">
        <v>110</v>
      </c>
      <c r="D138" s="8"/>
      <c r="E138" s="8"/>
      <c r="F138" s="8"/>
      <c r="G138" s="8"/>
      <c r="H138" s="8"/>
      <c r="I138" s="8"/>
      <c r="J138" s="8"/>
      <c r="K138" s="8"/>
      <c r="L138" s="8"/>
      <c r="M138" s="8"/>
      <c r="N138" s="8"/>
      <c r="O138" s="94"/>
    </row>
    <row r="139" spans="2:15" hidden="1" x14ac:dyDescent="0.25">
      <c r="B139" s="92"/>
      <c r="C139" s="424" t="s">
        <v>228</v>
      </c>
      <c r="D139" s="422"/>
      <c r="E139" s="422"/>
      <c r="F139" s="422"/>
      <c r="G139" s="422"/>
      <c r="H139" s="422"/>
      <c r="I139" s="422"/>
      <c r="J139" s="8"/>
      <c r="K139" s="8"/>
      <c r="L139" s="8"/>
      <c r="M139" s="8"/>
      <c r="N139" s="8"/>
      <c r="O139" s="94"/>
    </row>
    <row r="140" spans="2:15" hidden="1" x14ac:dyDescent="0.25">
      <c r="B140" s="92"/>
      <c r="C140" s="424" t="s">
        <v>229</v>
      </c>
      <c r="D140" s="422"/>
      <c r="E140" s="422"/>
      <c r="F140" s="422"/>
      <c r="G140" s="422"/>
      <c r="H140" s="422"/>
      <c r="I140" s="422"/>
      <c r="J140" s="8"/>
      <c r="K140" s="8"/>
      <c r="L140" s="8"/>
      <c r="M140" s="8"/>
      <c r="N140" s="8"/>
      <c r="O140" s="94"/>
    </row>
    <row r="141" spans="2:15" hidden="1" x14ac:dyDescent="0.25">
      <c r="B141" s="92"/>
      <c r="C141" s="424" t="s">
        <v>230</v>
      </c>
      <c r="D141" s="422"/>
      <c r="E141" s="422"/>
      <c r="F141" s="422"/>
      <c r="G141" s="422"/>
      <c r="H141" s="422"/>
      <c r="I141" s="422"/>
      <c r="J141" s="8"/>
      <c r="K141" s="8"/>
      <c r="L141" s="8"/>
      <c r="M141" s="8"/>
      <c r="N141" s="8"/>
      <c r="O141" s="94"/>
    </row>
    <row r="142" spans="2:15" hidden="1" x14ac:dyDescent="0.25">
      <c r="B142" s="92"/>
      <c r="C142" s="422" t="s">
        <v>231</v>
      </c>
      <c r="D142" s="422"/>
      <c r="E142" s="422"/>
      <c r="F142" s="422"/>
      <c r="G142" s="422"/>
      <c r="H142" s="422"/>
      <c r="I142" s="422"/>
      <c r="J142" s="8"/>
      <c r="K142" s="8"/>
      <c r="L142" s="8"/>
      <c r="M142" s="8"/>
      <c r="N142" s="8"/>
      <c r="O142" s="94"/>
    </row>
    <row r="143" spans="2:15" ht="26.25" hidden="1" customHeight="1" thickBot="1" x14ac:dyDescent="0.3">
      <c r="B143" s="101"/>
      <c r="C143" s="423"/>
      <c r="D143" s="423"/>
      <c r="E143" s="423"/>
      <c r="F143" s="423"/>
      <c r="G143" s="423"/>
      <c r="H143" s="423"/>
      <c r="I143" s="423"/>
      <c r="J143" s="102"/>
      <c r="K143" s="102"/>
      <c r="L143" s="102"/>
      <c r="M143" s="102"/>
      <c r="N143" s="102"/>
      <c r="O143" s="103"/>
    </row>
  </sheetData>
  <mergeCells count="4">
    <mergeCell ref="E11:F12"/>
    <mergeCell ref="H74:I74"/>
    <mergeCell ref="I77:L80"/>
    <mergeCell ref="D80:F83"/>
  </mergeCells>
  <conditionalFormatting sqref="D114:I114">
    <cfRule type="cellIs" dxfId="31" priority="7" stopIfTrue="1" operator="greaterThanOrEqual">
      <formula>1</formula>
    </cfRule>
    <cfRule type="cellIs" dxfId="30" priority="8" stopIfTrue="1" operator="lessThan">
      <formula>1</formula>
    </cfRule>
  </conditionalFormatting>
  <conditionalFormatting sqref="D115:I115">
    <cfRule type="cellIs" dxfId="29" priority="5" stopIfTrue="1" operator="greaterThan">
      <formula>5</formula>
    </cfRule>
    <cfRule type="cellIs" dxfId="28" priority="6" stopIfTrue="1" operator="lessThanOrEqual">
      <formula>5</formula>
    </cfRule>
  </conditionalFormatting>
  <conditionalFormatting sqref="E79">
    <cfRule type="cellIs" dxfId="27" priority="3" stopIfTrue="1" operator="lessThanOrEqual">
      <formula>5</formula>
    </cfRule>
    <cfRule type="cellIs" dxfId="26" priority="4" stopIfTrue="1" operator="greaterThan">
      <formula>5</formula>
    </cfRule>
  </conditionalFormatting>
  <conditionalFormatting sqref="J75">
    <cfRule type="cellIs" dxfId="25" priority="1" stopIfTrue="1" operator="greaterThanOrEqual">
      <formula>1</formula>
    </cfRule>
    <cfRule type="cellIs" dxfId="24" priority="2" stopIfTrue="1" operator="lessThan">
      <formula>1</formula>
    </cfRule>
  </conditionalFormatting>
  <pageMargins left="0.75" right="0.75" top="1" bottom="1" header="0.5" footer="0.5"/>
  <pageSetup scale="63" fitToHeight="4" orientation="landscape" r:id="rId1"/>
  <headerFooter alignWithMargins="0"/>
  <rowBreaks count="2" manualBreakCount="2">
    <brk id="48" max="16383" man="1"/>
    <brk id="84" max="1638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815-B-23-003</TermName>
          <TermId xmlns="http://schemas.microsoft.com/office/infopath/2007/PartnerControls">11111111-1111-1111-1111-111111111111</TermId>
        </TermInfo>
      </Terms>
    </TaxKeywordTaxHTField>
    <Records_x0020_Date xmlns="10035e7a-f02f-400b-864c-9effc5d7994e" xsi:nil="true"/>
    <Record xmlns="4ffa91fb-a0ff-4ac5-b2db-65c790d184a4">Shared</Record>
    <Rights xmlns="4ffa91fb-a0ff-4ac5-b2db-65c790d184a4" xsi:nil="true"/>
    <Records_x0020_Status xmlns="10035e7a-f02f-400b-864c-9effc5d7994e">Pending</Records_x0020_Status>
    <Document_x0020_Creation_x0020_Date xmlns="4ffa91fb-a0ff-4ac5-b2db-65c790d184a4">2019-08-02T19:32:28+00:00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E8CBBDB8072F584F9A69825E7A9BEE10" ma:contentTypeVersion="31" ma:contentTypeDescription="Create a new document." ma:contentTypeScope="" ma:versionID="32e31815d820e3bfc18538cf2c5d89b2">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10035e7a-f02f-400b-864c-9effc5d7994e" xmlns:ns7="3068aaee-4594-4d40-8932-6620263d9183" targetNamespace="http://schemas.microsoft.com/office/2006/metadata/properties" ma:root="true" ma:fieldsID="f37ce0828cb1f3cc4cabb7698c886473" ns1:_="" ns3:_="" ns4:_="" ns5:_="" ns6:_="" ns7:_="">
    <xsd:import namespace="http://schemas.microsoft.com/sharepoint/v3"/>
    <xsd:import namespace="4ffa91fb-a0ff-4ac5-b2db-65c790d184a4"/>
    <xsd:import namespace="http://schemas.microsoft.com/sharepoint.v3"/>
    <xsd:import namespace="http://schemas.microsoft.com/sharepoint/v3/fields"/>
    <xsd:import namespace="10035e7a-f02f-400b-864c-9effc5d7994e"/>
    <xsd:import namespace="3068aaee-4594-4d40-8932-6620263d9183"/>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element ref="ns6:SharedWithDetails" minOccurs="0"/>
                <xsd:element ref="ns6:SharingHintHash" minOccurs="0"/>
                <xsd:element ref="ns7:MediaServiceMetadata" minOccurs="0"/>
                <xsd:element ref="ns7:MediaServiceFastMetadata" minOccurs="0"/>
                <xsd:element ref="ns7:MediaServiceDateTaken" minOccurs="0"/>
                <xsd:element ref="ns7:MediaServiceAutoTags" minOccurs="0"/>
                <xsd:element ref="ns7:MediaServiceOCR" minOccurs="0"/>
                <xsd:element ref="ns6:Records_x0020_Status" minOccurs="0"/>
                <xsd:element ref="ns6:Records_x0020_Date" minOccurs="0"/>
                <xsd:element ref="ns7:MediaServiceGenerationTime" minOccurs="0"/>
                <xsd:element ref="ns7: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daddcb4c-3ac7-4d51-b403-21f56c7c1569}" ma:internalName="TaxCatchAllLabel" ma:readOnly="true" ma:showField="CatchAllDataLabel" ma:web="10035e7a-f02f-400b-864c-9effc5d7994e">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daddcb4c-3ac7-4d51-b403-21f56c7c1569}" ma:internalName="TaxCatchAll" ma:showField="CatchAllData" ma:web="10035e7a-f02f-400b-864c-9effc5d7994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0035e7a-f02f-400b-864c-9effc5d7994e" elementFormDefault="qualified">
    <xsd:import namespace="http://schemas.microsoft.com/office/2006/documentManagement/types"/>
    <xsd:import namespace="http://schemas.microsoft.com/office/infopath/2007/PartnerControls"/>
    <xsd:element name="SharedWithUsers" ma:index="2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description="" ma:internalName="SharedWithDetails" ma:readOnly="true">
      <xsd:simpleType>
        <xsd:restriction base="dms:Note">
          <xsd:maxLength value="255"/>
        </xsd:restriction>
      </xsd:simpleType>
    </xsd:element>
    <xsd:element name="SharingHintHash" ma:index="30" nillable="true" ma:displayName="Sharing Hint Hash" ma:description="" ma:hidden="true" ma:internalName="SharingHintHash" ma:readOnly="true">
      <xsd:simpleType>
        <xsd:restriction base="dms:Text"/>
      </xsd:simpleType>
    </xsd:element>
    <xsd:element name="Records_x0020_Status" ma:index="36" nillable="true" ma:displayName="Records Status" ma:default="Pending" ma:internalName="Records_x0020_Status">
      <xsd:simpleType>
        <xsd:restriction base="dms:Text"/>
      </xsd:simpleType>
    </xsd:element>
    <xsd:element name="Records_x0020_Date" ma:index="37" nillable="true" ma:displayName="Records Date" ma:hidden="true" ma:internalName="Records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068aaee-4594-4d40-8932-6620263d9183" elementFormDefault="qualified">
    <xsd:import namespace="http://schemas.microsoft.com/office/2006/documentManagement/types"/>
    <xsd:import namespace="http://schemas.microsoft.com/office/infopath/2007/PartnerControls"/>
    <xsd:element name="MediaServiceMetadata" ma:index="31" nillable="true" ma:displayName="MediaServiceMetadata" ma:description="" ma:hidden="true" ma:internalName="MediaServiceMetadata" ma:readOnly="true">
      <xsd:simpleType>
        <xsd:restriction base="dms:Note"/>
      </xsd:simpleType>
    </xsd:element>
    <xsd:element name="MediaServiceFastMetadata" ma:index="32" nillable="true" ma:displayName="MediaServiceFastMetadata" ma:description="" ma:hidden="true" ma:internalName="MediaServiceFastMetadata" ma:readOnly="true">
      <xsd:simpleType>
        <xsd:restriction base="dms:Note"/>
      </xsd:simpleType>
    </xsd:element>
    <xsd:element name="MediaServiceDateTaken" ma:index="33" nillable="true" ma:displayName="MediaServiceDateTaken" ma:description="" ma:hidden="true" ma:internalName="MediaServiceDateTaken" ma:readOnly="true">
      <xsd:simpleType>
        <xsd:restriction base="dms:Text"/>
      </xsd:simpleType>
    </xsd:element>
    <xsd:element name="MediaServiceAutoTags" ma:index="34" nillable="true" ma:displayName="MediaServiceAutoTags" ma:description="" ma:internalName="MediaServiceAutoTags" ma:readOnly="true">
      <xsd:simpleType>
        <xsd:restriction base="dms:Text"/>
      </xsd:simpleType>
    </xsd:element>
    <xsd:element name="MediaServiceOCR" ma:index="35" nillable="true" ma:displayName="MediaServiceOCR" ma:internalName="MediaServiceOCR" ma:readOnly="true">
      <xsd:simpleType>
        <xsd:restriction base="dms:Note">
          <xsd:maxLength value="255"/>
        </xsd:restriction>
      </xsd:simpleType>
    </xsd:element>
    <xsd:element name="MediaServiceGenerationTime" ma:index="38" nillable="true" ma:displayName="MediaServiceGenerationTime" ma:hidden="true" ma:internalName="MediaServiceGenerationTime" ma:readOnly="true">
      <xsd:simpleType>
        <xsd:restriction base="dms:Text"/>
      </xsd:simpleType>
    </xsd:element>
    <xsd:element name="MediaServiceEventHashCode" ma:index="3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825D12-5C83-4057-8E39-E86E8469F086}">
  <ds:schemaRefs>
    <ds:schemaRef ds:uri="http://purl.org/dc/elements/1.1/"/>
    <ds:schemaRef ds:uri="http://purl.org/dc/dcmitype/"/>
    <ds:schemaRef ds:uri="http://schemas.microsoft.com/office/infopath/2007/PartnerControls"/>
    <ds:schemaRef ds:uri="3068aaee-4594-4d40-8932-6620263d9183"/>
    <ds:schemaRef ds:uri="http://www.w3.org/XML/1998/namespace"/>
    <ds:schemaRef ds:uri="http://schemas.microsoft.com/office/2006/documentManagement/types"/>
    <ds:schemaRef ds:uri="http://purl.org/dc/terms/"/>
    <ds:schemaRef ds:uri="http://schemas.openxmlformats.org/package/2006/metadata/core-properties"/>
    <ds:schemaRef ds:uri="10035e7a-f02f-400b-864c-9effc5d7994e"/>
    <ds:schemaRef ds:uri="http://schemas.microsoft.com/sharepoint/v3"/>
    <ds:schemaRef ds:uri="http://schemas.microsoft.com/sharepoint/v3/fields"/>
    <ds:schemaRef ds:uri="http://schemas.microsoft.com/sharepoint.v3"/>
    <ds:schemaRef ds:uri="4ffa91fb-a0ff-4ac5-b2db-65c790d184a4"/>
    <ds:schemaRef ds:uri="http://schemas.microsoft.com/office/2006/metadata/properties"/>
  </ds:schemaRefs>
</ds:datastoreItem>
</file>

<file path=customXml/itemProps2.xml><?xml version="1.0" encoding="utf-8"?>
<ds:datastoreItem xmlns:ds="http://schemas.openxmlformats.org/officeDocument/2006/customXml" ds:itemID="{9775EE0C-F04B-4D22-B633-4588C0D48E44}">
  <ds:schemaRefs>
    <ds:schemaRef ds:uri="http://schemas.microsoft.com/sharepoint/v3/contenttype/forms"/>
  </ds:schemaRefs>
</ds:datastoreItem>
</file>

<file path=customXml/itemProps3.xml><?xml version="1.0" encoding="utf-8"?>
<ds:datastoreItem xmlns:ds="http://schemas.openxmlformats.org/officeDocument/2006/customXml" ds:itemID="{5D9A2910-73C8-4DED-8DAF-0183334DA804}">
  <ds:schemaRefs>
    <ds:schemaRef ds:uri="Microsoft.SharePoint.Taxonomy.ContentTypeSync"/>
  </ds:schemaRefs>
</ds:datastoreItem>
</file>

<file path=customXml/itemProps4.xml><?xml version="1.0" encoding="utf-8"?>
<ds:datastoreItem xmlns:ds="http://schemas.openxmlformats.org/officeDocument/2006/customXml" ds:itemID="{D6456CC5-D409-4682-93E6-E4A3A10ECB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10035e7a-f02f-400b-864c-9effc5d7994e"/>
    <ds:schemaRef ds:uri="3068aaee-4594-4d40-8932-6620263d91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Introduction</vt:lpstr>
      <vt:lpstr>Tank Summary</vt:lpstr>
      <vt:lpstr>Example</vt:lpstr>
      <vt:lpstr>Tank#1</vt:lpstr>
      <vt:lpstr>Tank#2</vt:lpstr>
      <vt:lpstr>Tank#3</vt:lpstr>
      <vt:lpstr>Tank#4</vt:lpstr>
      <vt:lpstr>Tank#5</vt:lpstr>
      <vt:lpstr>Tank#6</vt:lpstr>
      <vt:lpstr>Tank#7</vt:lpstr>
      <vt:lpstr>Tank#8</vt:lpstr>
      <vt:lpstr>Tank#9</vt:lpstr>
      <vt:lpstr>Data Considerations</vt:lpstr>
      <vt:lpstr>Glossary</vt:lpstr>
      <vt:lpstr>Introduction!Print_Area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Drinking Water Storage Tank Assessment Study Spreadsheet</dc:title>
  <dc:subject>Summarize storage tank characteristics, estimate average tank turnover time and mixing, and evaluate potential operational strategies</dc:subject>
  <dc:creator>US EPA, OW, OGWDW, SRMD, Technical Support Center</dc:creator>
  <cp:keywords>815-B-23-003</cp:keywords>
  <cp:lastModifiedBy>Dugan, Alison</cp:lastModifiedBy>
  <cp:lastPrinted>2023-03-02T14:18:02Z</cp:lastPrinted>
  <dcterms:created xsi:type="dcterms:W3CDTF">2002-10-27T15:47:47Z</dcterms:created>
  <dcterms:modified xsi:type="dcterms:W3CDTF">2023-03-02T14:21:04Z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f71893111efb4e4cb761790b47231be4</vt:lpwstr>
  </property>
  <property fmtid="{D5CDD505-2E9C-101B-9397-08002B2CF9AE}" pid="3" name="ContentTypeId">
    <vt:lpwstr>0x010100E8CBBDB8072F584F9A69825E7A9BEE10</vt:lpwstr>
  </property>
</Properties>
</file>