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230" activeTab="0"/>
  </bookViews>
  <sheets>
    <sheet name="Sheet1" sheetId="1" r:id="rId1"/>
  </sheets>
  <definedNames>
    <definedName name="DataEntry">'Sheet1'!$B$36</definedName>
    <definedName name="Devices">'Sheet1'!$A$37:$B$39</definedName>
    <definedName name="Electricity">'Sheet1'!$B$29</definedName>
    <definedName name="ElectricityEquivalence">'Sheet1'!$B$60</definedName>
    <definedName name="ElectricityPhrase">'Sheet1'!$B$57</definedName>
    <definedName name="FaucetsHeated">'Sheet1'!$B$7</definedName>
    <definedName name="HeatingMethod">'Sheet1'!$B$50</definedName>
    <definedName name="NaturalGas">'Sheet1'!$B$30</definedName>
    <definedName name="NaturalGasEquivalence">'Sheet1'!$B$64</definedName>
    <definedName name="NaturalGasPhrase">'Sheet1'!$B$61</definedName>
    <definedName name="People">'Sheet1'!$B$5</definedName>
    <definedName name="_xlnm.Print_Area" localSheetId="0">'Sheet1'!$A$1:$D$18</definedName>
    <definedName name="Savings">'Sheet1'!$B$71</definedName>
    <definedName name="ShowerheadsHeated">'Sheet1'!$B$8</definedName>
    <definedName name="ToiletGPF">'Sheet1'!$B$40</definedName>
    <definedName name="ToiletsInstalledOptions">'Sheet1'!$B$21:$B$27</definedName>
    <definedName name="TranslatedWaterSavings">'Sheet1'!$B$47</definedName>
    <definedName name="WaterEquivalence">'Sheet1'!$B$56</definedName>
    <definedName name="WaterHeatedOptions">'Sheet1'!$B$28:$B$32</definedName>
    <definedName name="YearToiletsInstalled">'Sheet1'!$B$6</definedName>
  </definedNames>
  <calcPr fullCalcOnLoad="1"/>
</workbook>
</file>

<file path=xl/comments1.xml><?xml version="1.0" encoding="utf-8"?>
<comments xmlns="http://schemas.openxmlformats.org/spreadsheetml/2006/main">
  <authors>
    <author>GAronson</author>
  </authors>
  <commentList>
    <comment ref="C77" authorId="0">
      <text>
        <r>
          <rPr>
            <b/>
            <sz val="8"/>
            <rFont val="Tahoma"/>
            <family val="2"/>
          </rPr>
          <t>GAronson:</t>
        </r>
        <r>
          <rPr>
            <sz val="8"/>
            <rFont val="Tahoma"/>
            <family val="2"/>
          </rPr>
          <t xml:space="preserve">
I could not find this study in hard or electronic form. Perhaps this is supposed to be REUWS? Also, this study needs a page number.
</t>
        </r>
      </text>
    </comment>
  </commentList>
</comments>
</file>

<file path=xl/sharedStrings.xml><?xml version="1.0" encoding="utf-8"?>
<sst xmlns="http://schemas.openxmlformats.org/spreadsheetml/2006/main" count="109" uniqueCount="100">
  <si>
    <t>People</t>
  </si>
  <si>
    <t>Days</t>
  </si>
  <si>
    <t>Gallons saved per person</t>
  </si>
  <si>
    <t>Significant Digits</t>
  </si>
  <si>
    <t>Natural Gas</t>
  </si>
  <si>
    <t>Electricity</t>
  </si>
  <si>
    <t>Electricity Phrase</t>
  </si>
  <si>
    <t>Natural Gas Phrase</t>
  </si>
  <si>
    <t>cost of a gallon of water</t>
  </si>
  <si>
    <t>cu ft required to heat one gallon</t>
  </si>
  <si>
    <t>cost of KWh of electricity</t>
  </si>
  <si>
    <t>cost of cu ft of natural gas</t>
  </si>
  <si>
    <t>cu ft required to heat a house/day</t>
  </si>
  <si>
    <r>
      <t xml:space="preserve">Mayer, Peter W. and William B. DeOreo. </t>
    </r>
    <r>
      <rPr>
        <i/>
        <sz val="10"/>
        <rFont val="Arial"/>
        <family val="2"/>
      </rPr>
      <t xml:space="preserve">The End Uses of Hot Water in Single Family Homes from Flow Trace Analysis. </t>
    </r>
    <r>
      <rPr>
        <sz val="10"/>
        <rFont val="Arial"/>
        <family val="2"/>
      </rPr>
      <t>Aquacraft, Inc.</t>
    </r>
  </si>
  <si>
    <t>Btu per kilowatt-hour</t>
  </si>
  <si>
    <t>http://www.onlineconversion.com/energy.htm</t>
  </si>
  <si>
    <t>Weight of one gallon of water (pounds)</t>
  </si>
  <si>
    <t>http://www.onlineconversion.com/waterweight.htm</t>
  </si>
  <si>
    <t>Water heating process is about 90 percent efficient for electric hot water heaters</t>
  </si>
  <si>
    <t>http://www.eere.energy.gov/buildings/info/homes/choosingwater.html</t>
  </si>
  <si>
    <r>
      <t>kWh of electricity to heat one gallon of water, assuming incoming water is raised from 55</t>
    </r>
    <r>
      <rPr>
        <sz val="10"/>
        <rFont val="Symbol"/>
        <family val="1"/>
      </rPr>
      <t>°</t>
    </r>
    <r>
      <rPr>
        <sz val="10"/>
        <rFont val="Arial"/>
        <family val="0"/>
      </rPr>
      <t xml:space="preserve"> F to 120</t>
    </r>
    <r>
      <rPr>
        <sz val="10"/>
        <rFont val="Symbol"/>
        <family val="1"/>
      </rPr>
      <t>°</t>
    </r>
    <r>
      <rPr>
        <sz val="10"/>
        <rFont val="Arial"/>
        <family val="0"/>
      </rPr>
      <t xml:space="preserve"> F 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65</t>
    </r>
    <r>
      <rPr>
        <sz val="10"/>
        <rFont val="Symbol"/>
        <family val="1"/>
      </rPr>
      <t>°</t>
    </r>
    <r>
      <rPr>
        <sz val="10"/>
        <rFont val="Arial"/>
        <family val="0"/>
      </rPr>
      <t xml:space="preserve"> F), and assuming 90% heating efficiency.</t>
    </r>
  </si>
  <si>
    <t>Values used in calculations:</t>
  </si>
  <si>
    <t>Description</t>
  </si>
  <si>
    <t>Source</t>
  </si>
  <si>
    <t>http://www.eia.doe.gov/steo</t>
  </si>
  <si>
    <t>Temperature difference between unheated 55 degree water and heated 120 degree water</t>
  </si>
  <si>
    <t>Assumption. Department of Energy recommends 120 as set point for hot water heater thermostats.</t>
  </si>
  <si>
    <t>Raw value of water</t>
  </si>
  <si>
    <t>Raw value of energy</t>
  </si>
  <si>
    <t>Water Equivalence number</t>
  </si>
  <si>
    <t>Before 1980</t>
  </si>
  <si>
    <t>After 1980 but before 1994</t>
  </si>
  <si>
    <t>After 1994</t>
  </si>
  <si>
    <t>Don't know</t>
  </si>
  <si>
    <t>How is the water heated?</t>
  </si>
  <si>
    <t>&lt;-- National average is 2.6.</t>
  </si>
  <si>
    <t>epa.gov/watersense/pp/lists.htm</t>
  </si>
  <si>
    <t>Results</t>
  </si>
  <si>
    <t>Inputs</t>
  </si>
  <si>
    <t>Natural Gas Days</t>
  </si>
  <si>
    <t>When were the existing toilets installed?</t>
  </si>
  <si>
    <t>Reformatted water savings</t>
  </si>
  <si>
    <t>Translated water savings</t>
  </si>
  <si>
    <t>Reformatted energy savings (elec)</t>
  </si>
  <si>
    <t>Reformatted energy savings (gas)</t>
  </si>
  <si>
    <t>Calculations:</t>
  </si>
  <si>
    <t>Electricity Equivalence Phrase</t>
  </si>
  <si>
    <t>Natural Gas Equivalence (time)</t>
  </si>
  <si>
    <t>Natural Gas Equivalence Phrase</t>
  </si>
  <si>
    <t>Data Entry</t>
  </si>
  <si>
    <t>epa.gov/watersense/calculator/how_works.htm</t>
  </si>
  <si>
    <t>To learn more about this calculator, go to:</t>
  </si>
  <si>
    <t>heated water from a tap or showerhead</t>
  </si>
  <si>
    <t>Raw energy savings (gas)</t>
  </si>
  <si>
    <t>Raw energy savings (elec)</t>
  </si>
  <si>
    <t>Raw water savings (total)</t>
  </si>
  <si>
    <t>Raw water savings (excluding toilets)</t>
  </si>
  <si>
    <t>Gallons saved per person (excl. toilets)</t>
  </si>
  <si>
    <t>gallons saved per capita per day with WaterSense showerheads</t>
  </si>
  <si>
    <t>1. Number of People in Household:</t>
  </si>
  <si>
    <t>How many people live in your house?</t>
  </si>
  <si>
    <t>2. Toilets</t>
  </si>
  <si>
    <t>3. Faucets</t>
  </si>
  <si>
    <t>4. Showerheads</t>
  </si>
  <si>
    <t>gallons required for one load of laundry</t>
  </si>
  <si>
    <t>kilowatts per hour for a refrigerator</t>
  </si>
  <si>
    <t>Electricity Hours (refrigerator)</t>
  </si>
  <si>
    <t>Electricity Equivalence (refrigerator)</t>
  </si>
  <si>
    <t>Heating Method</t>
  </si>
  <si>
    <t>gallons per flush of pre-1980 toilet</t>
  </si>
  <si>
    <t>gallons per flush of 1980-1994 toilet</t>
  </si>
  <si>
    <t>gallons per flush of standard post-1994 toilet</t>
  </si>
  <si>
    <t>gallons per flush of WaterSense toilet</t>
  </si>
  <si>
    <t>gallons saved per capita per day with WaterSense faucets</t>
  </si>
  <si>
    <t>Water Equivalence Phrase</t>
  </si>
  <si>
    <t>Reformatted total savings</t>
  </si>
  <si>
    <t>Water Saved</t>
  </si>
  <si>
    <t>GHG Emissions Reduced</t>
  </si>
  <si>
    <t>Money Saved</t>
  </si>
  <si>
    <t>Only products that are independently tested to meet EPA criteria for water efficiency and performance carry the WaterSense label.</t>
  </si>
  <si>
    <t>Energy Saved</t>
  </si>
  <si>
    <t>Equivalent to</t>
  </si>
  <si>
    <t>For a complete list of WaterSense labeled products, please visit the WaterSense website:</t>
  </si>
  <si>
    <t>pounds of CO2 per cubic foot of natural gas</t>
  </si>
  <si>
    <t>pounds of CO2 per day per vehicle</t>
  </si>
  <si>
    <t>pounds of CO2 per kWh of electricity</t>
  </si>
  <si>
    <t>Raw GHG Emissions Reductions</t>
  </si>
  <si>
    <t>GHG Emissions Phrase</t>
  </si>
  <si>
    <t>GHG Emissions Equivalence Phrase</t>
  </si>
  <si>
    <t>Reformatted GHG Emissions</t>
  </si>
  <si>
    <t>Pull-Downs:</t>
  </si>
  <si>
    <r>
      <rPr>
        <b/>
        <i/>
        <sz val="11"/>
        <color indexed="12"/>
        <rFont val="Arial"/>
        <family val="2"/>
      </rPr>
      <t>Calculate Your Water Savings</t>
    </r>
    <r>
      <rPr>
        <b/>
        <i/>
        <sz val="10"/>
        <color indexed="12"/>
        <rFont val="Arial"/>
        <family val="2"/>
      </rPr>
      <t xml:space="preserve">
</t>
    </r>
    <r>
      <rPr>
        <sz val="10"/>
        <rFont val="Arial"/>
        <family val="2"/>
      </rPr>
      <t>Use the pulldown menus provided in cells B5 through B8 to answer questions 1 through 4 below. Estimates of the amount of water and energy that you can expect to save by installing WaterSense labeled products will appear in the “Results” area.</t>
    </r>
  </si>
  <si>
    <t>N/A (installing new)</t>
  </si>
  <si>
    <t>Not using WaterSense brand</t>
  </si>
  <si>
    <t>Showerhead Savings</t>
  </si>
  <si>
    <t>Faucet Savings</t>
  </si>
  <si>
    <t>Toilet Savings</t>
  </si>
  <si>
    <t>Toilets - Current GPF</t>
  </si>
  <si>
    <t>average flushes per day</t>
  </si>
  <si>
    <t>Last Updated: 5/8/2012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</si>
</sst>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#,##0.0000"/>
    <numFmt numFmtId="168" formatCode="#,##0.000"/>
    <numFmt numFmtId="169" formatCode="#,##0.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&quot;$&quot;#,##0.0000"/>
    <numFmt numFmtId="173" formatCode="&quot;$&quot;#,##0.00"/>
    <numFmt numFmtId="174" formatCode="&quot;$&quot;#,##0.0_);[Red]\(&quot;$&quot;#,##0.0\)"/>
    <numFmt numFmtId="175" formatCode="&quot;$&quot;#,##0.000_);[Red]\(&quot;$&quot;#,##0.000\)"/>
    <numFmt numFmtId="176" formatCode="&quot;$&quot;#,##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&quot;$&quot;#,##0.000"/>
    <numFmt numFmtId="184" formatCode="&quot;$&quot;#,##0.000000"/>
    <numFmt numFmtId="185" formatCode="0.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_(* #,##0.0_);_(* \(#,##0.0\);_(* &quot;-&quot;?_);_(@_)"/>
    <numFmt numFmtId="192" formatCode="0.00000"/>
    <numFmt numFmtId="193" formatCode="0.000000"/>
    <numFmt numFmtId="194" formatCode="0.0000000"/>
    <numFmt numFmtId="195" formatCode="0.00000000"/>
    <numFmt numFmtId="196" formatCode="[$-409]dddd\,\ mmmm\ dd\,\ yyyy"/>
    <numFmt numFmtId="197" formatCode="[$-409]h:mm:ss\ AM/PM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u val="single"/>
      <sz val="10"/>
      <color indexed="17"/>
      <name val="Arial"/>
      <family val="2"/>
    </font>
    <font>
      <i/>
      <u val="single"/>
      <sz val="9"/>
      <color indexed="12"/>
      <name val="Arial"/>
      <family val="2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8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6" fillId="0" borderId="0" xfId="53" applyBorder="1" applyAlignment="1" applyProtection="1">
      <alignment vertical="top" wrapText="1"/>
      <protection/>
    </xf>
    <xf numFmtId="168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81" fontId="0" fillId="0" borderId="0" xfId="0" applyNumberForma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wrapText="1"/>
      <protection/>
    </xf>
    <xf numFmtId="0" fontId="6" fillId="0" borderId="0" xfId="53" applyAlignment="1" applyProtection="1">
      <alignment vertical="top" wrapText="1"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4" fillId="0" borderId="11" xfId="0" applyFont="1" applyBorder="1" applyAlignment="1" applyProtection="1">
      <alignment horizontal="left"/>
      <protection/>
    </xf>
    <xf numFmtId="0" fontId="13" fillId="33" borderId="11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53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6" fillId="0" borderId="13" xfId="0" applyFont="1" applyBorder="1" applyAlignment="1" applyProtection="1">
      <alignment wrapText="1"/>
      <protection/>
    </xf>
    <xf numFmtId="0" fontId="16" fillId="0" borderId="14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/>
    </xf>
    <xf numFmtId="4" fontId="2" fillId="33" borderId="18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wrapText="1"/>
      <protection/>
    </xf>
    <xf numFmtId="0" fontId="0" fillId="34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right"/>
      <protection/>
    </xf>
    <xf numFmtId="3" fontId="0" fillId="34" borderId="19" xfId="0" applyNumberForma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vertical="center" wrapText="1"/>
      <protection/>
    </xf>
    <xf numFmtId="0" fontId="11" fillId="34" borderId="19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3" fontId="0" fillId="34" borderId="19" xfId="0" applyNumberFormat="1" applyFont="1" applyFill="1" applyBorder="1" applyAlignment="1" applyProtection="1">
      <alignment vertical="center" wrapText="1"/>
      <protection/>
    </xf>
    <xf numFmtId="0" fontId="0" fillId="34" borderId="19" xfId="0" applyFill="1" applyBorder="1" applyAlignment="1" applyProtection="1">
      <alignment vertical="top"/>
      <protection/>
    </xf>
    <xf numFmtId="0" fontId="0" fillId="34" borderId="19" xfId="0" applyFill="1" applyBorder="1" applyAlignment="1" applyProtection="1">
      <alignment/>
      <protection/>
    </xf>
    <xf numFmtId="168" fontId="0" fillId="34" borderId="19" xfId="0" applyNumberFormat="1" applyFill="1" applyBorder="1" applyAlignment="1" applyProtection="1">
      <alignment/>
      <protection/>
    </xf>
    <xf numFmtId="173" fontId="0" fillId="34" borderId="19" xfId="0" applyNumberFormat="1" applyFill="1" applyBorder="1" applyAlignment="1" applyProtection="1">
      <alignment/>
      <protection/>
    </xf>
    <xf numFmtId="166" fontId="0" fillId="34" borderId="19" xfId="0" applyNumberFormat="1" applyFill="1" applyBorder="1" applyAlignment="1" applyProtection="1">
      <alignment/>
      <protection/>
    </xf>
    <xf numFmtId="168" fontId="0" fillId="34" borderId="19" xfId="0" applyNumberFormat="1" applyFont="1" applyFill="1" applyBorder="1" applyAlignment="1" applyProtection="1">
      <alignment vertical="center" wrapText="1"/>
      <protection/>
    </xf>
    <xf numFmtId="176" fontId="12" fillId="35" borderId="19" xfId="44" applyNumberFormat="1" applyFont="1" applyFill="1" applyBorder="1" applyAlignment="1" applyProtection="1">
      <alignment vertical="top"/>
      <protection/>
    </xf>
    <xf numFmtId="4" fontId="0" fillId="35" borderId="19" xfId="0" applyNumberFormat="1" applyFill="1" applyBorder="1" applyAlignment="1" applyProtection="1">
      <alignment vertical="top"/>
      <protection/>
    </xf>
    <xf numFmtId="0" fontId="0" fillId="35" borderId="19" xfId="0" applyFill="1" applyBorder="1" applyAlignment="1" applyProtection="1">
      <alignment vertical="top"/>
      <protection/>
    </xf>
    <xf numFmtId="167" fontId="12" fillId="35" borderId="19" xfId="0" applyNumberFormat="1" applyFont="1" applyFill="1" applyBorder="1" applyAlignment="1" applyProtection="1">
      <alignment vertical="top"/>
      <protection/>
    </xf>
    <xf numFmtId="9" fontId="12" fillId="35" borderId="19" xfId="59" applyFont="1" applyFill="1" applyBorder="1" applyAlignment="1" applyProtection="1">
      <alignment vertical="top"/>
      <protection/>
    </xf>
    <xf numFmtId="0" fontId="0" fillId="35" borderId="19" xfId="0" applyFont="1" applyFill="1" applyBorder="1" applyAlignment="1" applyProtection="1">
      <alignment vertical="top" wrapText="1"/>
      <protection/>
    </xf>
    <xf numFmtId="0" fontId="6" fillId="35" borderId="19" xfId="53" applyFill="1" applyBorder="1" applyAlignment="1" applyProtection="1">
      <alignment vertical="top" wrapText="1"/>
      <protection/>
    </xf>
    <xf numFmtId="0" fontId="0" fillId="35" borderId="19" xfId="0" applyFill="1" applyBorder="1" applyAlignment="1" applyProtection="1">
      <alignment vertical="top" wrapText="1"/>
      <protection/>
    </xf>
    <xf numFmtId="43" fontId="12" fillId="35" borderId="19" xfId="42" applyFont="1" applyFill="1" applyBorder="1" applyAlignment="1" applyProtection="1">
      <alignment vertical="top"/>
      <protection/>
    </xf>
    <xf numFmtId="2" fontId="12" fillId="35" borderId="19" xfId="0" applyNumberFormat="1" applyFont="1" applyFill="1" applyBorder="1" applyAlignment="1" applyProtection="1">
      <alignment vertical="top"/>
      <protection/>
    </xf>
    <xf numFmtId="0" fontId="12" fillId="35" borderId="19" xfId="0" applyFont="1" applyFill="1" applyBorder="1" applyAlignment="1" applyProtection="1">
      <alignment vertical="top"/>
      <protection/>
    </xf>
    <xf numFmtId="1" fontId="12" fillId="35" borderId="19" xfId="42" applyNumberFormat="1" applyFont="1" applyFill="1" applyBorder="1" applyAlignment="1" applyProtection="1">
      <alignment vertical="top"/>
      <protection/>
    </xf>
    <xf numFmtId="182" fontId="12" fillId="35" borderId="19" xfId="0" applyNumberFormat="1" applyFont="1" applyFill="1" applyBorder="1" applyAlignment="1" applyProtection="1">
      <alignment vertical="top"/>
      <protection/>
    </xf>
    <xf numFmtId="0" fontId="12" fillId="35" borderId="19" xfId="42" applyNumberFormat="1" applyFont="1" applyFill="1" applyBorder="1" applyAlignment="1" applyProtection="1">
      <alignment vertical="top"/>
      <protection/>
    </xf>
    <xf numFmtId="173" fontId="4" fillId="34" borderId="19" xfId="0" applyNumberFormat="1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 vertical="center" wrapText="1"/>
      <protection/>
    </xf>
    <xf numFmtId="185" fontId="18" fillId="34" borderId="19" xfId="0" applyNumberFormat="1" applyFont="1" applyFill="1" applyBorder="1" applyAlignment="1" applyProtection="1">
      <alignment/>
      <protection/>
    </xf>
    <xf numFmtId="172" fontId="12" fillId="35" borderId="19" xfId="0" applyNumberFormat="1" applyFont="1" applyFill="1" applyBorder="1" applyAlignment="1" applyProtection="1">
      <alignment vertical="top"/>
      <protection/>
    </xf>
    <xf numFmtId="0" fontId="14" fillId="0" borderId="11" xfId="0" applyFont="1" applyBorder="1" applyAlignment="1" applyProtection="1">
      <alignment/>
      <protection/>
    </xf>
    <xf numFmtId="3" fontId="0" fillId="34" borderId="19" xfId="0" applyNumberFormat="1" applyFont="1" applyFill="1" applyBorder="1" applyAlignment="1" applyProtection="1">
      <alignment horizontal="right" vertical="center" wrapText="1"/>
      <protection/>
    </xf>
    <xf numFmtId="0" fontId="12" fillId="35" borderId="20" xfId="42" applyNumberFormat="1" applyFont="1" applyFill="1" applyBorder="1" applyAlignment="1" applyProtection="1">
      <alignment vertical="top"/>
      <protection/>
    </xf>
    <xf numFmtId="4" fontId="0" fillId="35" borderId="19" xfId="0" applyNumberFormat="1" applyFont="1" applyFill="1" applyBorder="1" applyAlignment="1" applyProtection="1">
      <alignment vertical="top"/>
      <protection/>
    </xf>
    <xf numFmtId="0" fontId="0" fillId="34" borderId="19" xfId="0" applyFont="1" applyFill="1" applyBorder="1" applyAlignment="1" applyProtection="1">
      <alignment/>
      <protection/>
    </xf>
    <xf numFmtId="168" fontId="0" fillId="34" borderId="19" xfId="0" applyNumberFormat="1" applyFill="1" applyBorder="1" applyAlignment="1" applyProtection="1">
      <alignment horizontal="right"/>
      <protection/>
    </xf>
    <xf numFmtId="0" fontId="0" fillId="34" borderId="19" xfId="0" applyFont="1" applyFill="1" applyBorder="1" applyAlignment="1" applyProtection="1">
      <alignment wrapText="1"/>
      <protection/>
    </xf>
    <xf numFmtId="0" fontId="0" fillId="35" borderId="20" xfId="0" applyFont="1" applyFill="1" applyBorder="1" applyAlignment="1" applyProtection="1">
      <alignment vertical="top" wrapText="1"/>
      <protection/>
    </xf>
    <xf numFmtId="0" fontId="0" fillId="34" borderId="19" xfId="0" applyFont="1" applyFill="1" applyBorder="1" applyAlignment="1" applyProtection="1">
      <alignment horizontal="right"/>
      <protection/>
    </xf>
    <xf numFmtId="3" fontId="18" fillId="34" borderId="19" xfId="0" applyNumberFormat="1" applyFont="1" applyFill="1" applyBorder="1" applyAlignment="1" applyProtection="1">
      <alignment horizontal="right" vertical="center" wrapText="1"/>
      <protection/>
    </xf>
    <xf numFmtId="183" fontId="12" fillId="35" borderId="19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right" wrapText="1"/>
      <protection/>
    </xf>
    <xf numFmtId="173" fontId="4" fillId="34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right" vertical="center"/>
      <protection/>
    </xf>
    <xf numFmtId="7" fontId="4" fillId="0" borderId="20" xfId="44" applyNumberFormat="1" applyFont="1" applyFill="1" applyBorder="1" applyAlignment="1" applyProtection="1">
      <alignment horizontal="right"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 wrapText="1"/>
      <protection/>
    </xf>
    <xf numFmtId="3" fontId="3" fillId="0" borderId="0" xfId="0" applyNumberFormat="1" applyFont="1" applyBorder="1" applyAlignment="1" applyProtection="1">
      <alignment horizontal="left" vertical="top" wrapText="1"/>
      <protection/>
    </xf>
    <xf numFmtId="3" fontId="3" fillId="0" borderId="20" xfId="0" applyNumberFormat="1" applyFont="1" applyBorder="1" applyAlignment="1" applyProtection="1">
      <alignment horizontal="left" vertical="top" wrapText="1"/>
      <protection/>
    </xf>
    <xf numFmtId="7" fontId="4" fillId="0" borderId="20" xfId="44" applyNumberFormat="1" applyFont="1" applyFill="1" applyBorder="1" applyAlignment="1" applyProtection="1">
      <alignment horizontal="right" vertical="top"/>
      <protection/>
    </xf>
    <xf numFmtId="0" fontId="20" fillId="0" borderId="0" xfId="53" applyFont="1" applyBorder="1" applyAlignment="1" applyProtection="1">
      <alignment/>
      <protection/>
    </xf>
    <xf numFmtId="0" fontId="0" fillId="35" borderId="19" xfId="0" applyFont="1" applyFill="1" applyBorder="1" applyAlignment="1" applyProtection="1">
      <alignment vertical="top"/>
      <protection/>
    </xf>
    <xf numFmtId="0" fontId="57" fillId="34" borderId="19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vertical="top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wrapText="1"/>
      <protection/>
    </xf>
    <xf numFmtId="0" fontId="16" fillId="0" borderId="11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8" xfId="0" applyFont="1" applyBorder="1" applyAlignment="1" applyProtection="1">
      <alignment wrapText="1"/>
      <protection/>
    </xf>
    <xf numFmtId="0" fontId="58" fillId="0" borderId="0" xfId="0" applyFont="1" applyBorder="1" applyAlignment="1" applyProtection="1">
      <alignment horizontal="left" wrapText="1"/>
      <protection/>
    </xf>
    <xf numFmtId="0" fontId="58" fillId="0" borderId="10" xfId="0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buildings/info/homes/choosingwater.html" TargetMode="External" /><Relationship Id="rId2" Type="http://schemas.openxmlformats.org/officeDocument/2006/relationships/hyperlink" Target="http://www.epa.gov/watersense/pp/lists.htm" TargetMode="External" /><Relationship Id="rId3" Type="http://schemas.openxmlformats.org/officeDocument/2006/relationships/hyperlink" Target="http://www.epa.gov/watersense/calculator/how_works.htm" TargetMode="External" /><Relationship Id="rId4" Type="http://schemas.openxmlformats.org/officeDocument/2006/relationships/hyperlink" Target="http://www.eia.doe.gov/steo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7"/>
  <sheetViews>
    <sheetView showGridLines="0" tabSelected="1" zoomScalePageLayoutView="0" workbookViewId="0" topLeftCell="A1">
      <pane xSplit="4" ySplit="18" topLeftCell="E8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B5" sqref="B5"/>
    </sheetView>
  </sheetViews>
  <sheetFormatPr defaultColWidth="9.140625" defaultRowHeight="12.75"/>
  <cols>
    <col min="1" max="1" width="33.8515625" style="104" customWidth="1"/>
    <col min="2" max="2" width="36.140625" style="104" customWidth="1"/>
    <col min="3" max="3" width="27.8515625" style="104" customWidth="1"/>
    <col min="4" max="4" width="20.00390625" style="104" customWidth="1"/>
    <col min="5" max="16384" width="9.140625" style="104" customWidth="1"/>
  </cols>
  <sheetData>
    <row r="1" spans="1:4" ht="51.75" customHeight="1">
      <c r="A1" s="110" t="s">
        <v>91</v>
      </c>
      <c r="B1" s="111"/>
      <c r="C1" s="111"/>
      <c r="D1" s="114" t="s">
        <v>99</v>
      </c>
    </row>
    <row r="2" spans="1:4" ht="22.5" customHeight="1">
      <c r="A2" s="107" t="s">
        <v>51</v>
      </c>
      <c r="B2" s="98" t="s">
        <v>50</v>
      </c>
      <c r="C2" s="98"/>
      <c r="D2" s="88"/>
    </row>
    <row r="3" spans="1:4" ht="12.75">
      <c r="A3" s="24" t="s">
        <v>38</v>
      </c>
      <c r="B3" s="16"/>
      <c r="C3" s="16"/>
      <c r="D3" s="21"/>
    </row>
    <row r="4" spans="1:4" ht="12.75">
      <c r="A4" s="39"/>
      <c r="B4" s="33"/>
      <c r="C4" s="18"/>
      <c r="D4" s="22"/>
    </row>
    <row r="5" spans="1:4" ht="12.75">
      <c r="A5" s="23" t="s">
        <v>59</v>
      </c>
      <c r="B5" s="34" t="s">
        <v>60</v>
      </c>
      <c r="C5" s="18" t="s">
        <v>35</v>
      </c>
      <c r="D5" s="22"/>
    </row>
    <row r="6" spans="1:4" ht="12.75">
      <c r="A6" s="23" t="s">
        <v>61</v>
      </c>
      <c r="B6" s="34" t="s">
        <v>40</v>
      </c>
      <c r="C6" s="1"/>
      <c r="D6" s="22"/>
    </row>
    <row r="7" spans="1:4" ht="12.75">
      <c r="A7" s="23" t="s">
        <v>62</v>
      </c>
      <c r="B7" s="34" t="s">
        <v>34</v>
      </c>
      <c r="C7" s="112">
        <f>IF(OR(AND(FaucetsHeated="Electricity",ShowerheadsHeated="Natural Gas"),AND(FaucetsHeated="Natural Gas",ShowerheadsHeated="Electricity")),"You cannot select two different sources for heating your water.  Please change your selections.","")</f>
      </c>
      <c r="D7" s="113"/>
    </row>
    <row r="8" spans="1:4" ht="12.75">
      <c r="A8" s="77" t="s">
        <v>63</v>
      </c>
      <c r="B8" s="34" t="s">
        <v>34</v>
      </c>
      <c r="C8" s="112"/>
      <c r="D8" s="113"/>
    </row>
    <row r="9" spans="1:4" ht="12.75">
      <c r="A9" s="77"/>
      <c r="B9" s="108"/>
      <c r="C9" s="1"/>
      <c r="D9" s="22"/>
    </row>
    <row r="10" spans="1:4" ht="12.75">
      <c r="A10" s="24" t="s">
        <v>37</v>
      </c>
      <c r="B10" s="15"/>
      <c r="C10" s="15"/>
      <c r="D10" s="21"/>
    </row>
    <row r="11" spans="1:4" ht="12.75">
      <c r="A11" s="90" t="s">
        <v>76</v>
      </c>
      <c r="B11" s="94" t="s">
        <v>80</v>
      </c>
      <c r="C11" s="93" t="s">
        <v>77</v>
      </c>
      <c r="D11" s="91" t="s">
        <v>78</v>
      </c>
    </row>
    <row r="12" spans="1:4" s="105" customFormat="1" ht="30" customHeight="1">
      <c r="A12" s="95">
        <f>IF(DataEntry="Complete",TranslatedWaterSavings,"")</f>
      </c>
      <c r="B12" s="96">
        <f>IF(AND(DataEntry="Complete",C7="",ROUND(B52+B54,1)&gt;0),IF(HeatingMethod="Electricity",ElectricityPhrase,NaturalGasPhrase),"")</f>
      </c>
      <c r="C12" s="96">
        <f>IF(B12&lt;&gt;"",B67,"")</f>
      </c>
      <c r="D12" s="92">
        <f>IF(DataEntry="Complete",Savings,"")</f>
      </c>
    </row>
    <row r="13" spans="1:4" ht="12.75">
      <c r="A13" s="90" t="s">
        <v>81</v>
      </c>
      <c r="B13" s="94" t="s">
        <v>81</v>
      </c>
      <c r="C13" s="94" t="s">
        <v>81</v>
      </c>
      <c r="D13" s="92"/>
    </row>
    <row r="14" spans="1:4" s="105" customFormat="1" ht="27" customHeight="1">
      <c r="A14" s="95">
        <f>(IF(DataEntry="Complete",WaterEquivalence,""))</f>
      </c>
      <c r="B14" s="96">
        <f>IF(B12&lt;&gt;"",IF(B51&gt;0,ElectricityEquivalence,IF(B53&gt;0,NaturalGasEquivalence,"")),"")</f>
      </c>
      <c r="C14" s="96">
        <f>IF(B12&lt;&gt;"",B68,"")</f>
      </c>
      <c r="D14" s="97"/>
    </row>
    <row r="15" spans="1:4" ht="12.75">
      <c r="A15" s="25"/>
      <c r="B15" s="15"/>
      <c r="C15" s="15"/>
      <c r="D15" s="21"/>
    </row>
    <row r="16" spans="1:4" ht="12.75">
      <c r="A16" s="26" t="s">
        <v>79</v>
      </c>
      <c r="B16" s="27"/>
      <c r="C16" s="27"/>
      <c r="D16" s="109"/>
    </row>
    <row r="17" spans="1:4" ht="12.75" customHeight="1">
      <c r="A17" s="26" t="s">
        <v>82</v>
      </c>
      <c r="B17" s="1"/>
      <c r="C17" s="28" t="s">
        <v>36</v>
      </c>
      <c r="D17" s="109"/>
    </row>
    <row r="18" spans="1:4" ht="12.75">
      <c r="A18" s="29"/>
      <c r="B18" s="30"/>
      <c r="C18" s="31"/>
      <c r="D18" s="32"/>
    </row>
    <row r="19" spans="1:4" ht="12.75" hidden="1">
      <c r="A19" s="20"/>
      <c r="B19" s="19"/>
      <c r="C19" s="19"/>
      <c r="D19" s="19"/>
    </row>
    <row r="20" spans="1:4" ht="12.75" hidden="1">
      <c r="A20" s="2" t="s">
        <v>90</v>
      </c>
      <c r="B20" s="1"/>
      <c r="C20" s="1"/>
      <c r="D20" s="1"/>
    </row>
    <row r="21" spans="1:4" ht="12.75" hidden="1">
      <c r="A21" s="35" t="s">
        <v>60</v>
      </c>
      <c r="B21" s="38" t="s">
        <v>40</v>
      </c>
      <c r="C21" s="1"/>
      <c r="D21" s="1"/>
    </row>
    <row r="22" spans="1:4" ht="12.75" hidden="1">
      <c r="A22" s="44">
        <v>1</v>
      </c>
      <c r="B22" s="45" t="s">
        <v>30</v>
      </c>
      <c r="C22" s="1"/>
      <c r="D22" s="1"/>
    </row>
    <row r="23" spans="1:4" ht="12.75" hidden="1">
      <c r="A23" s="44">
        <v>2</v>
      </c>
      <c r="B23" s="45" t="s">
        <v>31</v>
      </c>
      <c r="C23" s="1"/>
      <c r="D23" s="1"/>
    </row>
    <row r="24" spans="1:4" ht="12.75" hidden="1">
      <c r="A24" s="44">
        <v>2.6</v>
      </c>
      <c r="B24" s="46" t="s">
        <v>32</v>
      </c>
      <c r="C24" s="1"/>
      <c r="D24" s="1"/>
    </row>
    <row r="25" spans="1:4" ht="12.75" hidden="1">
      <c r="A25" s="44">
        <v>3</v>
      </c>
      <c r="B25" s="81" t="s">
        <v>33</v>
      </c>
      <c r="C25" s="1"/>
      <c r="D25" s="1"/>
    </row>
    <row r="26" spans="1:4" ht="12.75" hidden="1">
      <c r="A26" s="44">
        <v>4</v>
      </c>
      <c r="B26" s="81" t="s">
        <v>92</v>
      </c>
      <c r="C26" s="1"/>
      <c r="D26" s="1"/>
    </row>
    <row r="27" spans="1:4" ht="12.75" hidden="1">
      <c r="A27" s="44">
        <v>5</v>
      </c>
      <c r="B27" s="102" t="s">
        <v>93</v>
      </c>
      <c r="C27" s="1"/>
      <c r="D27" s="1"/>
    </row>
    <row r="28" spans="1:4" ht="12.75" hidden="1">
      <c r="A28" s="44">
        <v>6</v>
      </c>
      <c r="B28" s="36" t="s">
        <v>34</v>
      </c>
      <c r="C28" s="1"/>
      <c r="D28" s="1"/>
    </row>
    <row r="29" spans="1:4" ht="12.75" hidden="1">
      <c r="A29" s="44">
        <v>7</v>
      </c>
      <c r="B29" s="46" t="s">
        <v>5</v>
      </c>
      <c r="C29" s="1"/>
      <c r="D29" s="1"/>
    </row>
    <row r="30" spans="1:4" ht="12.75" hidden="1">
      <c r="A30" s="44">
        <v>8</v>
      </c>
      <c r="B30" s="46" t="s">
        <v>4</v>
      </c>
      <c r="C30" s="1"/>
      <c r="D30" s="1"/>
    </row>
    <row r="31" spans="1:4" s="106" customFormat="1" ht="12.75" hidden="1">
      <c r="A31" s="44">
        <v>9</v>
      </c>
      <c r="B31" s="83" t="s">
        <v>93</v>
      </c>
      <c r="C31" s="6"/>
      <c r="D31" s="6"/>
    </row>
    <row r="32" spans="1:4" s="106" customFormat="1" ht="12.75" hidden="1">
      <c r="A32" s="44">
        <v>10</v>
      </c>
      <c r="B32" s="45" t="s">
        <v>33</v>
      </c>
      <c r="C32" s="6"/>
      <c r="D32" s="6"/>
    </row>
    <row r="33" spans="1:4" ht="12.75" hidden="1">
      <c r="A33" s="1"/>
      <c r="B33" s="1"/>
      <c r="C33" s="1"/>
      <c r="D33" s="1"/>
    </row>
    <row r="34" spans="1:4" ht="12.75" hidden="1">
      <c r="A34" s="1"/>
      <c r="B34" s="1"/>
      <c r="C34" s="1"/>
      <c r="D34" s="1"/>
    </row>
    <row r="35" spans="1:4" ht="12.75" hidden="1">
      <c r="A35" s="40" t="s">
        <v>45</v>
      </c>
      <c r="B35" s="37"/>
      <c r="C35" s="5"/>
      <c r="D35" s="1"/>
    </row>
    <row r="36" spans="1:4" ht="12.75" hidden="1">
      <c r="A36" s="46" t="s">
        <v>49</v>
      </c>
      <c r="B36" s="86" t="str">
        <f>IF(AND(People&lt;&gt;A21,YearToiletsInstalled&lt;&gt;B21,FaucetsHeated&lt;&gt;B28,ShowerheadsHeated&lt;&gt;B28),"Complete","Incomplete")</f>
        <v>Incomplete</v>
      </c>
      <c r="C36" s="1"/>
      <c r="D36" s="1"/>
    </row>
    <row r="37" spans="1:4" ht="12.75" hidden="1">
      <c r="A37" s="103" t="s">
        <v>95</v>
      </c>
      <c r="B37" s="47">
        <f>IF(OR(B7=B$28,B7=B$31),0,A87)</f>
        <v>0</v>
      </c>
      <c r="C37" s="3"/>
      <c r="D37" s="1"/>
    </row>
    <row r="38" spans="1:4" ht="12.75" hidden="1">
      <c r="A38" s="103" t="s">
        <v>94</v>
      </c>
      <c r="B38" s="85">
        <f>IF(OR(B8=B$28,B8=B$31),0,A88)</f>
        <v>0</v>
      </c>
      <c r="C38" s="3"/>
      <c r="D38" s="1"/>
    </row>
    <row r="39" spans="1:4" ht="12.75" hidden="1">
      <c r="A39" s="103" t="s">
        <v>96</v>
      </c>
      <c r="B39" s="47">
        <f>IF(OR(B6=B$21,B6=B$27),0,A90*(ToiletGPF-A94))</f>
        <v>0</v>
      </c>
      <c r="C39" s="3"/>
      <c r="D39" s="1"/>
    </row>
    <row r="40" spans="1:4" ht="12.75" hidden="1">
      <c r="A40" s="81" t="s">
        <v>97</v>
      </c>
      <c r="B40" s="75">
        <f>IF(YearToiletsInstalled=B22,A91,IF(OR(YearToiletsInstalled=B24,YearToiletsInstalled=B26),A93,A92))</f>
        <v>3.5</v>
      </c>
      <c r="C40" s="14"/>
      <c r="D40" s="1"/>
    </row>
    <row r="41" spans="1:4" ht="12.75" hidden="1">
      <c r="A41" s="46" t="s">
        <v>2</v>
      </c>
      <c r="B41" s="54">
        <f>SUM(B37:B39)</f>
        <v>0</v>
      </c>
      <c r="C41" s="17"/>
      <c r="D41" s="1"/>
    </row>
    <row r="42" spans="1:4" ht="12.75" hidden="1">
      <c r="A42" s="46" t="s">
        <v>0</v>
      </c>
      <c r="B42" s="54">
        <f>IF(People=A21,0,People)</f>
        <v>0</v>
      </c>
      <c r="C42" s="1"/>
      <c r="D42" s="1"/>
    </row>
    <row r="43" spans="1:4" ht="12.75" hidden="1">
      <c r="A43" s="46" t="s">
        <v>1</v>
      </c>
      <c r="B43" s="48">
        <f>365</f>
        <v>365</v>
      </c>
      <c r="C43" s="1"/>
      <c r="D43" s="1"/>
    </row>
    <row r="44" spans="1:4" ht="12.75" hidden="1">
      <c r="A44" s="46" t="s">
        <v>3</v>
      </c>
      <c r="B44" s="49">
        <f>IF(AND(B38=0,B39=0),1,2)</f>
        <v>1</v>
      </c>
      <c r="C44" s="7"/>
      <c r="D44" s="1"/>
    </row>
    <row r="45" spans="1:4" ht="12.75" hidden="1">
      <c r="A45" s="50" t="s">
        <v>55</v>
      </c>
      <c r="B45" s="55">
        <f>PRODUCT(B41:B43)</f>
        <v>0</v>
      </c>
      <c r="C45" s="13"/>
      <c r="D45" s="1"/>
    </row>
    <row r="46" spans="1:4" ht="12.75" hidden="1">
      <c r="A46" s="46" t="s">
        <v>41</v>
      </c>
      <c r="B46" s="48">
        <f>ROUND(B45,(-1)*(LEN(INT(B45))-B$44))</f>
        <v>0</v>
      </c>
      <c r="C46" s="11"/>
      <c r="D46" s="1"/>
    </row>
    <row r="47" spans="1:4" ht="12.75" hidden="1">
      <c r="A47" s="46" t="s">
        <v>42</v>
      </c>
      <c r="B47" s="73" t="str">
        <f>IF(B46&gt;=1000000000000,B46/1000000000000&amp;" trillion",IF(B46&gt;=1000000000,B46/1000000000&amp;" billion",IF(B46&gt;=1000000,B46/1000000&amp;" million",IF(B46&gt;=1000,TEXT(B46,"#,##0"),B46))))&amp;" gallons"</f>
        <v>0 gallons</v>
      </c>
      <c r="C47" s="11"/>
      <c r="D47" s="1"/>
    </row>
    <row r="48" spans="1:4" ht="12.75" hidden="1">
      <c r="A48" s="46" t="s">
        <v>57</v>
      </c>
      <c r="B48" s="55">
        <f>SUM(B37:B38)</f>
        <v>0</v>
      </c>
      <c r="C48" s="13"/>
      <c r="D48" s="1"/>
    </row>
    <row r="49" spans="1:4" ht="12.75" hidden="1">
      <c r="A49" s="50" t="s">
        <v>56</v>
      </c>
      <c r="B49" s="55">
        <f>B42*B43*B48</f>
        <v>0</v>
      </c>
      <c r="C49" s="13"/>
      <c r="D49" s="1"/>
    </row>
    <row r="50" spans="1:4" ht="12.75" hidden="1">
      <c r="A50" s="46" t="s">
        <v>68</v>
      </c>
      <c r="B50" s="82">
        <f>IF(OR(B7="Natural Gas",B8="Natural Gas"),"Natural Gas",IF(OR(B7="Electricity",B8="Electricity"),"Electricity",""))</f>
      </c>
      <c r="C50" s="13"/>
      <c r="D50" s="1"/>
    </row>
    <row r="51" spans="1:4" ht="12.75" hidden="1">
      <c r="A51" s="50" t="s">
        <v>54</v>
      </c>
      <c r="B51" s="55">
        <f>IF(HeatingMethod=Electricity,(A86*A77)*B49,0)</f>
        <v>0</v>
      </c>
      <c r="C51" s="13"/>
      <c r="D51" s="1"/>
    </row>
    <row r="52" spans="1:4" ht="12.75" hidden="1">
      <c r="A52" s="46" t="s">
        <v>43</v>
      </c>
      <c r="B52" s="57">
        <f>ROUND(B51,(-1)*(LEN(INT(B51))-B$44))</f>
        <v>0</v>
      </c>
      <c r="C52" s="11"/>
      <c r="D52" s="1"/>
    </row>
    <row r="53" spans="1:4" ht="12.75" hidden="1">
      <c r="A53" s="50" t="s">
        <v>53</v>
      </c>
      <c r="B53" s="55">
        <f>IF(HeatingMethod=NaturalGas,(A76*A77)*B49,0)</f>
        <v>0</v>
      </c>
      <c r="C53" s="13"/>
      <c r="D53" s="1"/>
    </row>
    <row r="54" spans="1:4" ht="12.75" hidden="1">
      <c r="A54" s="51" t="s">
        <v>44</v>
      </c>
      <c r="B54" s="57">
        <f>IF(B53&lt;1,ROUND(B53,1),ROUND(B53,(-1)*(LEN(INT(B53))-B$44)))</f>
        <v>0</v>
      </c>
      <c r="C54" s="11"/>
      <c r="D54" s="1"/>
    </row>
    <row r="55" spans="1:4" ht="12.75" hidden="1">
      <c r="A55" s="46" t="s">
        <v>29</v>
      </c>
      <c r="B55" s="48">
        <f>ROUND(B45/A89,0)</f>
        <v>0</v>
      </c>
      <c r="C55" s="11"/>
      <c r="D55" s="1"/>
    </row>
    <row r="56" spans="1:4" ht="12.75" hidden="1">
      <c r="A56" s="81" t="s">
        <v>74</v>
      </c>
      <c r="B56" s="74" t="str">
        <f>IF(ROUND(B55,(-1)*(LEN(B55)-B$44))=1,"one load of laundry",ROUND(B55,(-1)*(LEN(B55)-B$44))&amp;" loads of laundry")</f>
        <v>0 loads of laundry</v>
      </c>
      <c r="C56" s="11"/>
      <c r="D56" s="1"/>
    </row>
    <row r="57" spans="1:4" ht="12.75" hidden="1">
      <c r="A57" s="46" t="s">
        <v>6</v>
      </c>
      <c r="B57" s="74" t="str">
        <f>B52&amp;" KWh of electricity"</f>
        <v>0 KWh of electricity</v>
      </c>
      <c r="C57" s="1"/>
      <c r="D57" s="1"/>
    </row>
    <row r="58" spans="1:4" ht="12.75" hidden="1">
      <c r="A58" s="81" t="s">
        <v>66</v>
      </c>
      <c r="B58" s="52">
        <f>ROUND(B51/A80,0)</f>
        <v>0</v>
      </c>
      <c r="C58" s="1"/>
      <c r="D58" s="1"/>
    </row>
    <row r="59" spans="1:4" ht="12.75" hidden="1">
      <c r="A59" s="81" t="s">
        <v>67</v>
      </c>
      <c r="B59" s="78" t="str">
        <f>IF(B58&lt;24,B58&amp;" hour(s)",IF(B58&lt;24*7,ROUND(B51/(A80*24),0)&amp;" day(s)",IF(B58&lt;24*30,ROUND(B51/(A80*24*7),0)&amp;" week(s)",IF(B58&lt;24*365,ROUND(B51/(A80*24*30),0)&amp;" month(s)",TEXT(ROUND(B51/(A80*24*365),0),"#,##0")&amp;" year(s)"))))</f>
        <v>0 hour(s)</v>
      </c>
      <c r="C59" s="1"/>
      <c r="D59" s="1"/>
    </row>
    <row r="60" spans="1:4" ht="12.75" hidden="1">
      <c r="A60" s="53" t="s">
        <v>46</v>
      </c>
      <c r="B60" s="74" t="str">
        <f>"Running your refrigerator for "&amp;B59</f>
        <v>Running your refrigerator for 0 hour(s)</v>
      </c>
      <c r="C60" s="1"/>
      <c r="D60" s="1"/>
    </row>
    <row r="61" spans="1:4" ht="12.75" hidden="1">
      <c r="A61" s="46" t="s">
        <v>7</v>
      </c>
      <c r="B61" s="74" t="str">
        <f>B54&amp;" cu ft of natural gas"</f>
        <v>0 cu ft of natural gas</v>
      </c>
      <c r="C61" s="1"/>
      <c r="D61" s="1"/>
    </row>
    <row r="62" spans="1:4" ht="12.75" hidden="1">
      <c r="A62" s="46" t="s">
        <v>39</v>
      </c>
      <c r="B62" s="58">
        <f>ROUND(B53/A81,3)</f>
        <v>0</v>
      </c>
      <c r="C62" s="1"/>
      <c r="D62" s="1"/>
    </row>
    <row r="63" spans="1:4" ht="12.75" hidden="1">
      <c r="A63" s="46" t="s">
        <v>47</v>
      </c>
      <c r="B63" s="47" t="str">
        <f>IF(B62&gt;365-15,TEXT(ROUND(B53/(A81*365),0),"#,##0")&amp;" year(s)",IF(B62&gt;30,ROUND(B53/(A81*30),0)&amp;" month(s)",IF(B62&gt;7,ROUND(B53/(A81*7),0)&amp;" week(s)",IF(B62&gt;1,ROUND(B62,0)&amp;" day(s)",IF(B62&gt;1/24,ROUND(B53*24/A81,0)&amp;" hour(s)",CEILING(B53*24*60/A81,5)&amp;" minutes")))))</f>
        <v>0 minutes</v>
      </c>
      <c r="C63" s="1"/>
      <c r="D63" s="1"/>
    </row>
    <row r="64" spans="1:4" ht="12.75" hidden="1">
      <c r="A64" s="46" t="s">
        <v>48</v>
      </c>
      <c r="B64" s="74" t="str">
        <f>"Heating your house for "&amp;B63</f>
        <v>Heating your house for 0 minutes</v>
      </c>
      <c r="C64" s="1"/>
      <c r="D64" s="1"/>
    </row>
    <row r="65" spans="1:4" ht="12.75" hidden="1">
      <c r="A65" s="100" t="s">
        <v>86</v>
      </c>
      <c r="B65" s="58">
        <f>IF(HeatingMethod="Electricity",B51*A95,B53*A96)</f>
        <v>0</v>
      </c>
      <c r="C65" s="1"/>
      <c r="D65" s="1"/>
    </row>
    <row r="66" spans="1:4" ht="12.75" hidden="1">
      <c r="A66" s="81" t="s">
        <v>89</v>
      </c>
      <c r="B66" s="57">
        <f>ROUND(B65,(-1)*(LEN(INT(B65))-B$44))</f>
        <v>0</v>
      </c>
      <c r="C66" s="1"/>
      <c r="D66" s="1"/>
    </row>
    <row r="67" spans="1:4" ht="12.75" hidden="1">
      <c r="A67" s="81" t="s">
        <v>87</v>
      </c>
      <c r="B67" s="74" t="str">
        <f>B66&amp;" lbs of CO2"</f>
        <v>0 lbs of CO2</v>
      </c>
      <c r="C67" s="11"/>
      <c r="D67" s="1"/>
    </row>
    <row r="68" spans="1:4" ht="12.75" hidden="1">
      <c r="A68" s="101" t="s">
        <v>88</v>
      </c>
      <c r="B68" s="74" t="str">
        <f>"Taking 1 car off of the road for "&amp;ROUND(B65/A97,0)&amp;" days"</f>
        <v>Taking 1 car off of the road for 0 days</v>
      </c>
      <c r="C68" s="11"/>
      <c r="D68" s="1"/>
    </row>
    <row r="69" spans="1:4" ht="12.75" hidden="1">
      <c r="A69" s="50" t="s">
        <v>27</v>
      </c>
      <c r="B69" s="56">
        <f>ROUND(B45*A75,2)</f>
        <v>0</v>
      </c>
      <c r="C69" s="1"/>
      <c r="D69" s="1"/>
    </row>
    <row r="70" spans="1:4" ht="12.75" hidden="1">
      <c r="A70" s="50" t="s">
        <v>28</v>
      </c>
      <c r="B70" s="56">
        <f>ROUND((B51*A78)+(B53*A79),2)</f>
        <v>0</v>
      </c>
      <c r="C70" s="1"/>
      <c r="D70" s="1"/>
    </row>
    <row r="71" spans="1:4" ht="12.75" hidden="1">
      <c r="A71" s="81" t="s">
        <v>75</v>
      </c>
      <c r="B71" s="89">
        <f>ROUND(SUM(B69:B70)*100,(-1)*(LEN(ROUND(SUM(B69:B70)*100,0))-B$44))/100</f>
        <v>0</v>
      </c>
      <c r="C71" s="1"/>
      <c r="D71" s="1"/>
    </row>
    <row r="72" spans="1:4" ht="12.75" hidden="1">
      <c r="A72" s="4"/>
      <c r="B72" s="1"/>
      <c r="C72" s="1"/>
      <c r="D72" s="4"/>
    </row>
    <row r="73" spans="1:4" ht="12.75" hidden="1">
      <c r="A73" s="10"/>
      <c r="B73" s="9"/>
      <c r="C73" s="8"/>
      <c r="D73" s="1"/>
    </row>
    <row r="74" spans="1:4" ht="12.75" hidden="1">
      <c r="A74" s="41" t="s">
        <v>21</v>
      </c>
      <c r="B74" s="42" t="s">
        <v>22</v>
      </c>
      <c r="C74" s="43" t="s">
        <v>23</v>
      </c>
      <c r="D74" s="1"/>
    </row>
    <row r="75" spans="1:4" ht="12.75" hidden="1">
      <c r="A75" s="59">
        <v>0.00825</v>
      </c>
      <c r="B75" s="60" t="s">
        <v>8</v>
      </c>
      <c r="C75" s="61"/>
      <c r="D75" s="12"/>
    </row>
    <row r="76" spans="1:4" ht="12.75" hidden="1">
      <c r="A76" s="62">
        <v>0.8768</v>
      </c>
      <c r="B76" s="60" t="s">
        <v>9</v>
      </c>
      <c r="C76" s="61"/>
      <c r="D76" s="1"/>
    </row>
    <row r="77" spans="1:4" ht="63.75" hidden="1">
      <c r="A77" s="63">
        <v>0.73</v>
      </c>
      <c r="B77" s="60" t="s">
        <v>52</v>
      </c>
      <c r="C77" s="64" t="s">
        <v>13</v>
      </c>
      <c r="D77" s="1"/>
    </row>
    <row r="78" spans="1:4" ht="12.75" hidden="1">
      <c r="A78" s="76">
        <v>0.1178</v>
      </c>
      <c r="B78" s="60" t="s">
        <v>10</v>
      </c>
      <c r="C78" s="65" t="s">
        <v>24</v>
      </c>
      <c r="D78" s="1"/>
    </row>
    <row r="79" spans="1:4" ht="12.75" hidden="1">
      <c r="A79" s="87">
        <v>0.011</v>
      </c>
      <c r="B79" s="60" t="s">
        <v>11</v>
      </c>
      <c r="C79" s="65" t="s">
        <v>24</v>
      </c>
      <c r="D79" s="1"/>
    </row>
    <row r="80" spans="1:4" ht="12.75" hidden="1">
      <c r="A80" s="62">
        <f>3.3945/24</f>
        <v>0.1414375</v>
      </c>
      <c r="B80" s="80" t="s">
        <v>65</v>
      </c>
      <c r="C80" s="61"/>
      <c r="D80" s="1"/>
    </row>
    <row r="81" spans="1:4" ht="12.75" hidden="1">
      <c r="A81" s="70">
        <f>14.9*24</f>
        <v>357.6</v>
      </c>
      <c r="B81" s="60" t="s">
        <v>12</v>
      </c>
      <c r="C81" s="61"/>
      <c r="D81" s="1"/>
    </row>
    <row r="82" spans="1:4" ht="25.5" hidden="1">
      <c r="A82" s="67">
        <v>3412.14147989694</v>
      </c>
      <c r="B82" s="66" t="s">
        <v>14</v>
      </c>
      <c r="C82" s="65" t="s">
        <v>15</v>
      </c>
      <c r="D82" s="1"/>
    </row>
    <row r="83" spans="1:4" ht="25.5" hidden="1">
      <c r="A83" s="68">
        <v>8.3452641</v>
      </c>
      <c r="B83" s="61" t="s">
        <v>16</v>
      </c>
      <c r="C83" s="65" t="s">
        <v>17</v>
      </c>
      <c r="D83" s="1"/>
    </row>
    <row r="84" spans="1:4" ht="51" hidden="1">
      <c r="A84" s="69">
        <v>65</v>
      </c>
      <c r="B84" s="66" t="s">
        <v>25</v>
      </c>
      <c r="C84" s="66" t="s">
        <v>26</v>
      </c>
      <c r="D84" s="1"/>
    </row>
    <row r="85" spans="1:4" ht="38.25" hidden="1">
      <c r="A85" s="69">
        <v>0.9</v>
      </c>
      <c r="B85" s="66" t="s">
        <v>18</v>
      </c>
      <c r="C85" s="65" t="s">
        <v>19</v>
      </c>
      <c r="D85" s="1"/>
    </row>
    <row r="86" spans="1:4" ht="51" hidden="1">
      <c r="A86" s="71">
        <f>((1/A82)*A83*A84)/A85</f>
        <v>0.17663790375759497</v>
      </c>
      <c r="B86" s="66" t="s">
        <v>20</v>
      </c>
      <c r="C86" s="66"/>
      <c r="D86" s="1"/>
    </row>
    <row r="87" spans="1:4" ht="25.5" hidden="1">
      <c r="A87" s="79">
        <v>0.6</v>
      </c>
      <c r="B87" s="84" t="s">
        <v>73</v>
      </c>
      <c r="C87" s="66"/>
      <c r="D87" s="1"/>
    </row>
    <row r="88" spans="1:4" ht="25.5" hidden="1">
      <c r="A88" s="72">
        <v>2.4554</v>
      </c>
      <c r="B88" s="66" t="s">
        <v>58</v>
      </c>
      <c r="C88" s="66"/>
      <c r="D88" s="1"/>
    </row>
    <row r="89" spans="1:4" ht="12.75" hidden="1">
      <c r="A89" s="72">
        <v>40.9</v>
      </c>
      <c r="B89" s="66" t="s">
        <v>64</v>
      </c>
      <c r="C89" s="66"/>
      <c r="D89" s="1"/>
    </row>
    <row r="90" spans="1:4" ht="12.75" hidden="1">
      <c r="A90" s="72">
        <v>5.05</v>
      </c>
      <c r="B90" s="64" t="s">
        <v>98</v>
      </c>
      <c r="C90" s="66"/>
      <c r="D90" s="1"/>
    </row>
    <row r="91" spans="1:4" ht="12.75" hidden="1">
      <c r="A91" s="72">
        <v>5</v>
      </c>
      <c r="B91" s="66" t="s">
        <v>69</v>
      </c>
      <c r="C91" s="66"/>
      <c r="D91" s="1"/>
    </row>
    <row r="92" spans="1:4" ht="12.75" hidden="1">
      <c r="A92" s="72">
        <v>3.5</v>
      </c>
      <c r="B92" s="66" t="s">
        <v>70</v>
      </c>
      <c r="C92" s="66"/>
      <c r="D92" s="1"/>
    </row>
    <row r="93" spans="1:4" ht="25.5" hidden="1">
      <c r="A93" s="72">
        <v>1.6</v>
      </c>
      <c r="B93" s="66" t="s">
        <v>71</v>
      </c>
      <c r="C93" s="66"/>
      <c r="D93" s="1"/>
    </row>
    <row r="94" spans="1:4" ht="12.75" hidden="1">
      <c r="A94" s="72">
        <v>1.28</v>
      </c>
      <c r="B94" s="66" t="s">
        <v>72</v>
      </c>
      <c r="C94" s="66"/>
      <c r="D94" s="1"/>
    </row>
    <row r="95" spans="1:4" ht="12.75" hidden="1">
      <c r="A95" s="72">
        <v>1.52</v>
      </c>
      <c r="B95" s="64" t="s">
        <v>85</v>
      </c>
      <c r="C95" s="66"/>
      <c r="D95" s="1"/>
    </row>
    <row r="96" spans="1:4" ht="12.75" hidden="1">
      <c r="A96" s="72">
        <v>0.1069</v>
      </c>
      <c r="B96" s="99" t="s">
        <v>83</v>
      </c>
      <c r="C96" s="66"/>
      <c r="D96" s="1"/>
    </row>
    <row r="97" spans="1:4" ht="12.75" hidden="1">
      <c r="A97" s="72">
        <v>30.804</v>
      </c>
      <c r="B97" s="64" t="s">
        <v>84</v>
      </c>
      <c r="C97" s="66"/>
      <c r="D97" s="1"/>
    </row>
  </sheetData>
  <sheetProtection sheet="1"/>
  <mergeCells count="2">
    <mergeCell ref="A1:C1"/>
    <mergeCell ref="C7:D8"/>
  </mergeCells>
  <dataValidations count="4">
    <dataValidation type="list" allowBlank="1" showInputMessage="1" showErrorMessage="1" sqref="B9">
      <formula1>$B$28:$B$31</formula1>
    </dataValidation>
    <dataValidation type="list" allowBlank="1" showInputMessage="1" showErrorMessage="1" sqref="B6">
      <formula1>ToiletsInstalledOptions</formula1>
    </dataValidation>
    <dataValidation type="list" allowBlank="1" showInputMessage="1" showErrorMessage="1" sqref="B5">
      <formula1>$A$21:$A$32</formula1>
    </dataValidation>
    <dataValidation type="list" allowBlank="1" showInputMessage="1" showErrorMessage="1" sqref="B7:B8">
      <formula1>WaterHeatedOptions</formula1>
    </dataValidation>
  </dataValidations>
  <hyperlinks>
    <hyperlink ref="C85" r:id="rId1" display="http://www.eere.energy.gov/buildings/info/homes/choosingwater.html"/>
    <hyperlink ref="C17" r:id="rId2" display="epa.gov/watersense/pp/lists.htm"/>
    <hyperlink ref="B2" r:id="rId3" display="http://www.epa.gov/watersense/calculator/how_works.htm"/>
    <hyperlink ref="C78" r:id="rId4" display="http://www.eia.doe.gov/steo"/>
  </hyperlinks>
  <printOptions horizontalCentered="1"/>
  <pageMargins left="0.25" right="0.25" top="0.75" bottom="0.5" header="0.25" footer="0.25"/>
  <pageSetup fitToHeight="19" fitToWidth="1" horizontalDpi="300" verticalDpi="300" orientation="portrait" scale="82" r:id="rId7"/>
  <headerFooter alignWithMargins="0">
    <oddHeader>&amp;C&amp;18WaterSense Water Savings Calculator</oddHeader>
    <oddFooter>&amp;C&amp;P of &amp;N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zmiller</dc:creator>
  <cp:keywords/>
  <dc:description/>
  <cp:lastModifiedBy> MHeyward</cp:lastModifiedBy>
  <cp:lastPrinted>2008-11-03T19:29:14Z</cp:lastPrinted>
  <dcterms:created xsi:type="dcterms:W3CDTF">2008-03-17T14:30:02Z</dcterms:created>
  <dcterms:modified xsi:type="dcterms:W3CDTF">2012-05-08T15:45:46Z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